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65521" yWindow="65521" windowWidth="19170" windowHeight="6015" tabRatio="599" activeTab="0"/>
  </bookViews>
  <sheets>
    <sheet name="MLBSS_Receita e Despesa" sheetId="1" r:id="rId1"/>
    <sheet name="27-07-Pensões" sheetId="2" state="hidden" r:id="rId2"/>
    <sheet name="Exec Auxiliar-R Mensal" sheetId="3" state="hidden" r:id="rId3"/>
    <sheet name="MIX-Anal. Dr Nuno" sheetId="4" state="hidden" r:id="rId4"/>
    <sheet name="Controlo_R" sheetId="5" state="hidden" r:id="rId5"/>
    <sheet name="Controlo_D" sheetId="6" state="hidden" r:id="rId6"/>
    <sheet name="Despesa" sheetId="7" state="hidden" r:id="rId7"/>
    <sheet name="Receita" sheetId="8" state="hidden" r:id="rId8"/>
  </sheets>
  <externalReferences>
    <externalReference r:id="rId11"/>
    <externalReference r:id="rId12"/>
    <externalReference r:id="rId13"/>
  </externalReferences>
  <definedNames>
    <definedName name="aaaaaaaaaaaa">'[3]2008'!$B$35:$B$36</definedName>
    <definedName name="an424." localSheetId="0">'MLBSS_Receita e Despesa'!#REF!</definedName>
    <definedName name="an424.">'MLBSS_Receita e Despesa'!#REF!</definedName>
    <definedName name="_xlnm.Print_Area" localSheetId="6">'Despesa'!$A$1:$H$589</definedName>
    <definedName name="_xlnm.Print_Area" localSheetId="2">'Exec Auxiliar-R Mensal'!$A$1:$AG$114</definedName>
    <definedName name="_xlnm.Print_Area" localSheetId="3">'MIX-Anal. Dr Nuno'!$A$1:$C$151</definedName>
    <definedName name="_xlnm.Print_Area" localSheetId="0">'MLBSS_Receita e Despesa'!$B$1:$P$516</definedName>
    <definedName name="_xlnm.Print_Area" localSheetId="7">'Receita'!$B$1:$H$398</definedName>
    <definedName name="K1N406">'MLBSS_Receita e Despesa'!$A:$XFD</definedName>
    <definedName name="ra113001">#REF!</definedName>
    <definedName name="RA211003">#REF!</definedName>
    <definedName name="RA211006">#REF!</definedName>
    <definedName name="ra2211004">#REF!</definedName>
    <definedName name="raa118">#REF!</definedName>
    <definedName name="_xlnm.Print_Titles" localSheetId="2">'Exec Auxiliar-R Mensal'!$A:$B</definedName>
    <definedName name="_xlnm.Print_Titles" localSheetId="3">'MIX-Anal. Dr Nuno'!$1:$8</definedName>
    <definedName name="_xlnm.Print_Titles" localSheetId="7">'Receita'!$1:$1</definedName>
  </definedNames>
  <calcPr calcMode="manual" fullCalcOnLoad="1" calcCompleted="0" calcOnSave="0"/>
</workbook>
</file>

<file path=xl/comments7.xml><?xml version="1.0" encoding="utf-8"?>
<comments xmlns="http://schemas.openxmlformats.org/spreadsheetml/2006/main">
  <authors>
    <author>igf3085</author>
  </authors>
  <commentList>
    <comment ref="B267" authorId="0">
      <text>
        <r>
          <rPr>
            <b/>
            <sz val="8"/>
            <rFont val="Tahoma"/>
            <family val="0"/>
          </rPr>
          <t>igf3085:</t>
        </r>
        <r>
          <rPr>
            <sz val="8"/>
            <rFont val="Tahoma"/>
            <family val="0"/>
          </rPr>
          <t xml:space="preserve">
Acrescentei Sandra</t>
        </r>
      </text>
    </comment>
  </commentList>
</comments>
</file>

<file path=xl/comments8.xml><?xml version="1.0" encoding="utf-8"?>
<comments xmlns="http://schemas.openxmlformats.org/spreadsheetml/2006/main">
  <authors>
    <author>igf2069</author>
    <author>igf2061</author>
  </authors>
  <commentList>
    <comment ref="F379" authorId="0">
      <text>
        <r>
          <rPr>
            <b/>
            <sz val="8"/>
            <rFont val="Tahoma"/>
            <family val="0"/>
          </rPr>
          <t>igf2069:</t>
        </r>
        <r>
          <rPr>
            <sz val="8"/>
            <rFont val="Tahoma"/>
            <family val="0"/>
          </rPr>
          <t xml:space="preserve">
indicação do FSE</t>
        </r>
      </text>
    </comment>
    <comment ref="G175" authorId="1">
      <text>
        <r>
          <rPr>
            <b/>
            <sz val="8"/>
            <rFont val="Tahoma"/>
            <family val="0"/>
          </rPr>
          <t>igf2061:</t>
        </r>
        <r>
          <rPr>
            <sz val="8"/>
            <rFont val="Tahoma"/>
            <family val="0"/>
          </rPr>
          <t xml:space="preserve">
Retirados 1.500 € para R.06.07.01.02 (Alteração nos Açores)</t>
        </r>
      </text>
    </comment>
  </commentList>
</comments>
</file>

<file path=xl/sharedStrings.xml><?xml version="1.0" encoding="utf-8"?>
<sst xmlns="http://schemas.openxmlformats.org/spreadsheetml/2006/main" count="3982" uniqueCount="1607">
  <si>
    <t>Saldo do ano anterior sem aplicação em despesa</t>
  </si>
  <si>
    <t>PEPS-Compensação nos custos de manutenção dos postos de trabalho</t>
  </si>
  <si>
    <t>Defesa Nacional - Militares em RV e RC</t>
  </si>
  <si>
    <t xml:space="preserve">      Com suporte no FSE</t>
  </si>
  <si>
    <t>D.07.01.04</t>
  </si>
  <si>
    <t>D.04.08.07.02.01</t>
  </si>
  <si>
    <t>D.04.08.07.02.02</t>
  </si>
  <si>
    <t>Total do Subsistema Previdencial - Repartição</t>
  </si>
  <si>
    <t xml:space="preserve">   Outras Receitas - Acções Formação FSE</t>
  </si>
  <si>
    <t xml:space="preserve"> Outras Despesas de Capital</t>
  </si>
  <si>
    <t xml:space="preserve"> Outras Despesas de Capital - Activos Financeiros</t>
  </si>
  <si>
    <t>D.09.07.01</t>
  </si>
  <si>
    <t>R.05.09</t>
  </si>
  <si>
    <t>Administração regional</t>
  </si>
  <si>
    <t xml:space="preserve">PIDDAC - OE - POSI </t>
  </si>
  <si>
    <t>QCA III - POEFDS - medida 5.6</t>
  </si>
  <si>
    <t>Prog., med. Proj. A.S e combate à pobreza e exc. social- alinea a) + e)</t>
  </si>
  <si>
    <t>(6)=(5)/(1)</t>
  </si>
  <si>
    <t>D.04.07.03.02.05</t>
  </si>
  <si>
    <t>D.04.07.03.02.10</t>
  </si>
  <si>
    <t>Plano de Emergência</t>
  </si>
  <si>
    <t>Comissão Prot. Crianças e Jovens em Risco</t>
  </si>
  <si>
    <t>D.04.08.04.01.16</t>
  </si>
  <si>
    <t>Subsídio por morte</t>
  </si>
  <si>
    <t>Rendimentos</t>
  </si>
  <si>
    <t>Montante provisório de pensão</t>
  </si>
  <si>
    <t>Velhice</t>
  </si>
  <si>
    <t>Outras receitas</t>
  </si>
  <si>
    <t>Sobrevivência</t>
  </si>
  <si>
    <t>Invalidez</t>
  </si>
  <si>
    <t>Transferências correntes do OE - p/ financ. QREN + QCA</t>
  </si>
  <si>
    <t>RA211007</t>
  </si>
  <si>
    <t xml:space="preserve">RA211008 </t>
  </si>
  <si>
    <t>Juros - Administração central - Estado</t>
  </si>
  <si>
    <t>D.04.08.03.01.07</t>
  </si>
  <si>
    <t xml:space="preserve">Pensões - desalojados das ex-colónias </t>
  </si>
  <si>
    <t>Prestações Sociais</t>
  </si>
  <si>
    <t>D.04.07.03.02.99</t>
  </si>
  <si>
    <t xml:space="preserve">  Parte das Quotizações para Capitalização</t>
  </si>
  <si>
    <t>Administração regional - RAA - OSS</t>
  </si>
  <si>
    <t>D.05.04.04.02</t>
  </si>
  <si>
    <t>R.05.10.04</t>
  </si>
  <si>
    <t>R.06.07</t>
  </si>
  <si>
    <t>R.06.09</t>
  </si>
  <si>
    <t>R.07.01</t>
  </si>
  <si>
    <t>R.07.02</t>
  </si>
  <si>
    <t>Total   (5b)= (1b1 +1b2) + (2b1+2b2+2b3) + (3b)  = Desp. própria + transf. internas concedidas + saldo final global</t>
  </si>
  <si>
    <t>Transf. UE - INTERREG corrente</t>
  </si>
  <si>
    <t>Agência Nacional para a Qualificação</t>
  </si>
  <si>
    <t>Prog. de Apoio a fam. e a criança (PAFAC)</t>
  </si>
  <si>
    <t>D.04.07.03.02.20</t>
  </si>
  <si>
    <t>D.04.07.03.02.09</t>
  </si>
  <si>
    <t>Taxas sobre licenciamentos diversos concedidos a empresas</t>
  </si>
  <si>
    <t>R.04.01.19</t>
  </si>
  <si>
    <t>Adicionais</t>
  </si>
  <si>
    <t>R.04.01.99</t>
  </si>
  <si>
    <t>Taxas diversas</t>
  </si>
  <si>
    <t>R.04.02.01.99</t>
  </si>
  <si>
    <t>Juros mora - Outros</t>
  </si>
  <si>
    <t>R.04.02.02.01</t>
  </si>
  <si>
    <t>Transferências de capital para o INATEL</t>
  </si>
  <si>
    <t>Sistema de Acção Social</t>
  </si>
  <si>
    <t>Em €uro</t>
  </si>
  <si>
    <t xml:space="preserve">Toxicodependência   </t>
  </si>
  <si>
    <t>D.04.07.03.01.02</t>
  </si>
  <si>
    <t xml:space="preserve">SIDA                </t>
  </si>
  <si>
    <t>Administração local</t>
  </si>
  <si>
    <t>D.04.07.03.02.06</t>
  </si>
  <si>
    <t xml:space="preserve">Receita Total do Subs.Solid.  (2a) = (3) + (4a) + ( (1a1) + (1a2) ) = Saldo ano anterior ajustado + receita própria + transf. internas obtidas </t>
  </si>
  <si>
    <t>Sub-total do Subsistema (6a) = (4a) + ( (1a1) + (1a2) ) + (5) = Rec. Própria + Transf. internas obtidas + Saldo inicial com aplic. em despesa = Mapa XIII</t>
  </si>
  <si>
    <t xml:space="preserve">Receita Total do Subs.Prot. Familiar  (2a) = (3) + (4a) + ( (1a1) + (1a2) ) = Saldo ano anterior ajustado + rec. própria + transf. internas obtidas </t>
  </si>
  <si>
    <t>Sub-total do Subsistema (6a) = (4a) + ( (1a1) + (1a2) + (1a3) ) + (5) = Receita própria + Transferências internas obtidas + Saldo inicial com aplicação em despesa = Mapa XIII</t>
  </si>
  <si>
    <t xml:space="preserve">Receita Total do Sistema Previdencial - Capitalização  (2a) = (3) + (4a) + (1a1) = Saldo ano anterior ajustado + receita própria + transf. internas obtidas </t>
  </si>
  <si>
    <t>Sub-total do Sistema (6a) = (4a) + (1a1) + (5) = Rec. Própria + Transf. internas obtidas + Saldo inicial com aplic. em despesa = Mapa XIII</t>
  </si>
  <si>
    <t>União Europeia-Países membros</t>
  </si>
  <si>
    <t>DA211002 (Anexo 5)</t>
  </si>
  <si>
    <t>Complemento Especial de Pensão dos Antigos Combatentes</t>
  </si>
  <si>
    <t>D.04.08.03.12</t>
  </si>
  <si>
    <t>D.04.08.03.08.03</t>
  </si>
  <si>
    <t>D.04.08.03.08.04</t>
  </si>
  <si>
    <t>D111013</t>
  </si>
  <si>
    <t>Complemento Especial dos Antigos Combatentes</t>
  </si>
  <si>
    <t xml:space="preserve"> I. Correntes</t>
  </si>
  <si>
    <t>Protecção Familiar - RTRurais</t>
  </si>
  <si>
    <t>D.04.08.03.07.01</t>
  </si>
  <si>
    <t>OE - Projectos não cofinanciados</t>
  </si>
  <si>
    <t>FEDER - Intervenções Desconcentradas (QCA III)</t>
  </si>
  <si>
    <t>Comp. esp. de pensão dos Antigos Combatentes</t>
  </si>
  <si>
    <t>Outros proveitos</t>
  </si>
  <si>
    <t>R.08.01.01</t>
  </si>
  <si>
    <t>Saldo anos anteriores - Imoveis</t>
  </si>
  <si>
    <t>Saldo anos anteriores</t>
  </si>
  <si>
    <t>Pensões</t>
  </si>
  <si>
    <t>Total do Sistema de Acção Social</t>
  </si>
  <si>
    <t>D.02.02.09</t>
  </si>
  <si>
    <t>D.02.02.15</t>
  </si>
  <si>
    <t>R.05.03.01</t>
  </si>
  <si>
    <t>Subsídio de maternidade</t>
  </si>
  <si>
    <t>RA211009</t>
  </si>
  <si>
    <t>Transferências de SFA (POAP-IIESS)</t>
  </si>
  <si>
    <t>QCA III - POEFDS/PORLVT - medida 3.7</t>
  </si>
  <si>
    <t>Projectos não co-financiados</t>
  </si>
  <si>
    <t>R.03.01.01.01</t>
  </si>
  <si>
    <t>R.03.01.02.01</t>
  </si>
  <si>
    <t>R113004</t>
  </si>
  <si>
    <t>Euromilhões</t>
  </si>
  <si>
    <t>Outras Transferências de Capital</t>
  </si>
  <si>
    <t>Encargos familiares</t>
  </si>
  <si>
    <t>Subsídio de educação especial</t>
  </si>
  <si>
    <t>Complemento por dependência</t>
  </si>
  <si>
    <t>R.05.04.00.01</t>
  </si>
  <si>
    <t xml:space="preserve">CSS                                                </t>
  </si>
  <si>
    <t>Reembolsos de empréstimos concedidos - FSS</t>
  </si>
  <si>
    <t>D.04.08.04.01.09</t>
  </si>
  <si>
    <t>Ac.a.des.o.-Timorenses</t>
  </si>
  <si>
    <t>D.04.08.04.01.10</t>
  </si>
  <si>
    <t>Ac.a.des.o.-Plano regresso</t>
  </si>
  <si>
    <t xml:space="preserve">      Com suporte no CPN</t>
  </si>
  <si>
    <t>D.07.01</t>
  </si>
  <si>
    <t>D.08.07</t>
  </si>
  <si>
    <t>RAA-Transferências emprego e formação profissional</t>
  </si>
  <si>
    <t>D.04.04.02.02</t>
  </si>
  <si>
    <t xml:space="preserve">Sub-total do Subsistema  (3a) = (4a ) + (5) - (1a1) - (1a2) = Receita própria  + saldo com aplicação em despesa  - transferências internas obtidas </t>
  </si>
  <si>
    <t xml:space="preserve">Receita própria (4a) =(2a) - (3) - (((1a1+1a2) = Receita Total  - saldo inicial - transferências internas obtidas </t>
  </si>
  <si>
    <t xml:space="preserve">Sub-total do Subsistema  (3a) = (4a ) + (5) -  (1a1) - (1a2) = Receita própria  + saldo com aplicação em despesa  - transferências internas obtidas  </t>
  </si>
  <si>
    <t xml:space="preserve">Sub-total do Subsistema  (3a) = (4a ) + (5)  -  (1a1)  = Receita própria  + saldo com aplicação em despesa  - transferências internas obtidas  </t>
  </si>
  <si>
    <t>Subsidio Social na Maternidade/ Subsidio Social na Parentalidade</t>
  </si>
  <si>
    <t>Reposições não abatidas nos pagamentos</t>
  </si>
  <si>
    <t xml:space="preserve">         Reposições não abatidas nos pagamentos</t>
  </si>
  <si>
    <t>R111006</t>
  </si>
  <si>
    <t xml:space="preserve"> I.Receitas Correntes</t>
  </si>
  <si>
    <t>Prog. Acolhimento de crianças em risco</t>
  </si>
  <si>
    <t>AS2602</t>
  </si>
  <si>
    <t>Encontros temáticos para a promoção da cidadania</t>
  </si>
  <si>
    <t>Transportes</t>
  </si>
  <si>
    <t>Programa apoio Integrado a Idosos - PAII - Anexo 15</t>
  </si>
  <si>
    <t xml:space="preserve">  Programa apoio Integrado a Idosos - PAII</t>
  </si>
  <si>
    <t>AS1302</t>
  </si>
  <si>
    <t xml:space="preserve">      Encargos gerais</t>
  </si>
  <si>
    <t xml:space="preserve">      Encargos financeiros ( IGFSE)</t>
  </si>
  <si>
    <t xml:space="preserve">      Encargos de Gestão (FEFSS)</t>
  </si>
  <si>
    <t>Transfª do Minist.Defesa Nacional</t>
  </si>
  <si>
    <t>Outras receitas - Proj. Sociais da ISSS's</t>
  </si>
  <si>
    <t>Regime de Solidariedade - RESSFerroviários</t>
  </si>
  <si>
    <t>D.04.08.03.01.08</t>
  </si>
  <si>
    <t>Outras transferências para familias</t>
  </si>
  <si>
    <t>Inserção social da família, crianças e jovens em lares</t>
  </si>
  <si>
    <t>AS2402</t>
  </si>
  <si>
    <t>D.04.08.06.02.01</t>
  </si>
  <si>
    <t>D.04.08.06.02.02</t>
  </si>
  <si>
    <t>D.04.08.06.02.03</t>
  </si>
  <si>
    <t>Do FSE</t>
  </si>
  <si>
    <t>QREN POPH - P032 medida 6</t>
  </si>
  <si>
    <t xml:space="preserve">   Do FSE</t>
  </si>
  <si>
    <t>PIDDAC - FSE</t>
  </si>
  <si>
    <t>Instituto de Gestão do Fundo Social  Europeu</t>
  </si>
  <si>
    <t>Dependência</t>
  </si>
  <si>
    <t>Complementos por dependência</t>
  </si>
  <si>
    <t>Mapas Legais Detalhados</t>
  </si>
  <si>
    <t xml:space="preserve">Transferências da SCML </t>
  </si>
  <si>
    <t>Formação de Acção Social</t>
  </si>
  <si>
    <t>Transf* de SFA's - Proj. Form. Prof. das ISS's</t>
  </si>
  <si>
    <t>R112011</t>
  </si>
  <si>
    <t>R112010</t>
  </si>
  <si>
    <t>RA211008</t>
  </si>
  <si>
    <t xml:space="preserve">Outros Bens Investimento-Adm.Pub-Adm.Loc-R.A  </t>
  </si>
  <si>
    <t>R.09.04.08</t>
  </si>
  <si>
    <t>Transferências de capital - Interreg</t>
  </si>
  <si>
    <t>R.10.04.02</t>
  </si>
  <si>
    <t>Resto do mundo</t>
  </si>
  <si>
    <t>Transferências p/ emprego, higiene e formação profissional</t>
  </si>
  <si>
    <t>D.04.03.07.01</t>
  </si>
  <si>
    <t>Despesas de Capital - Ex-PIDDAC OSS</t>
  </si>
  <si>
    <t>Ex-PIDDAC OSS</t>
  </si>
  <si>
    <t xml:space="preserve">         Transfª correntes - resto do Mundo - FSE - QREN</t>
  </si>
  <si>
    <t>Combate à pobreza e exclusão social - alinea e)</t>
  </si>
  <si>
    <t>INTERREG corrente</t>
  </si>
  <si>
    <t>Pensão</t>
  </si>
  <si>
    <t>Banca dos Casinos</t>
  </si>
  <si>
    <t>Outros programas de Acção Social</t>
  </si>
  <si>
    <t xml:space="preserve">Outras receitas </t>
  </si>
  <si>
    <t>Outras despesas de capital - Imobilizado</t>
  </si>
  <si>
    <t>D.09</t>
  </si>
  <si>
    <t>D211001</t>
  </si>
  <si>
    <t>D.07.01.01</t>
  </si>
  <si>
    <t>D211002</t>
  </si>
  <si>
    <t>RA221003 (Anexo 8)</t>
  </si>
  <si>
    <t>R.09.02.10</t>
  </si>
  <si>
    <t>Venda de Bens Invest.-Habitações-Famílias</t>
  </si>
  <si>
    <t>R.10.03.03</t>
  </si>
  <si>
    <t>Projectos de formação profissional das ISS's</t>
  </si>
  <si>
    <t>IVA Social</t>
  </si>
  <si>
    <t>Sistema de Acção Social - RAA</t>
  </si>
  <si>
    <t>Inst. sem fins lucrativos - Acção Social - RAM</t>
  </si>
  <si>
    <t>Indemnização compensatória por salários em atraso</t>
  </si>
  <si>
    <t>D.04.03.01.02.02</t>
  </si>
  <si>
    <t>Outras receitas correntes</t>
  </si>
  <si>
    <t>Taxas espec. Divert.</t>
  </si>
  <si>
    <t>Transferências de SFA's - saldos de gerência</t>
  </si>
  <si>
    <t>Soc. q. soc. n/ fin - Priv.</t>
  </si>
  <si>
    <t>D.09.08.03</t>
  </si>
  <si>
    <t>PIDDAC - FEDER</t>
  </si>
  <si>
    <t>Transfª p/ o Gabinete de Gestão Fin. da Educação</t>
  </si>
  <si>
    <t>Outras receitas de capital - Activos Financeiros</t>
  </si>
  <si>
    <t>PARES</t>
  </si>
  <si>
    <t>Transferências capital instit. sem fins lucrativos</t>
  </si>
  <si>
    <t>AS2502</t>
  </si>
  <si>
    <t>Prog. para conforto das hab. dos idosos</t>
  </si>
  <si>
    <t>Outras despesas e transferências de capital</t>
  </si>
  <si>
    <t>R113001</t>
  </si>
  <si>
    <t>Autoridade p/ as Condições de Trabalho (ex. ISHST + IGT)</t>
  </si>
  <si>
    <t>Instituto de Gestão do Fundo Social Europeu</t>
  </si>
  <si>
    <r>
      <t xml:space="preserve">A.xxx </t>
    </r>
    <r>
      <rPr>
        <b/>
        <sz val="9"/>
        <color indexed="12"/>
        <rFont val="Arial"/>
        <family val="2"/>
      </rPr>
      <t>(Anexo 18)</t>
    </r>
  </si>
  <si>
    <r>
      <t>A.xxx</t>
    </r>
    <r>
      <rPr>
        <b/>
        <sz val="9"/>
        <color indexed="12"/>
        <rFont val="Arial"/>
        <family val="2"/>
      </rPr>
      <t xml:space="preserve"> (Anexo 18)</t>
    </r>
  </si>
  <si>
    <r>
      <t>Subsídio de lar e outras prestações</t>
    </r>
    <r>
      <rPr>
        <b/>
        <sz val="9"/>
        <rFont val="Arial"/>
        <family val="2"/>
      </rPr>
      <t xml:space="preserve"> </t>
    </r>
  </si>
  <si>
    <r>
      <t>F*</t>
    </r>
    <r>
      <rPr>
        <b/>
        <sz val="9"/>
        <color indexed="12"/>
        <rFont val="Arial"/>
        <family val="2"/>
      </rPr>
      <t xml:space="preserve"> (Anexo 3)</t>
    </r>
  </si>
  <si>
    <t>Comissão Prot. Crianças e Jovens em Risco - Anexo 16</t>
  </si>
  <si>
    <t>AS1402</t>
  </si>
  <si>
    <t>Pensões - desalojados das ex-colónias (b)</t>
  </si>
  <si>
    <t>D.04.08.03.05.01</t>
  </si>
  <si>
    <t>D.04.08.03.05.02</t>
  </si>
  <si>
    <t>Saldo do Sistema</t>
  </si>
  <si>
    <t xml:space="preserve">Subsistema de Protecção Familiar </t>
  </si>
  <si>
    <t>Receitas Cessantes</t>
  </si>
  <si>
    <t>RAM</t>
  </si>
  <si>
    <t>RAA</t>
  </si>
  <si>
    <t>D.04.08.09.01.15</t>
  </si>
  <si>
    <t>D.04.08.09.01.16</t>
  </si>
  <si>
    <t>D.04.08.09.01.17</t>
  </si>
  <si>
    <t>DA111011</t>
  </si>
  <si>
    <t>DA111012</t>
  </si>
  <si>
    <t>DA111005</t>
  </si>
  <si>
    <t>DA111003</t>
  </si>
  <si>
    <t>Subsidio lar e outras prestações</t>
  </si>
  <si>
    <t>Programa de Apoio a Idosos em Lar  - PILAR</t>
  </si>
  <si>
    <t>Programa de Apoio a Idosos em Lar</t>
  </si>
  <si>
    <t>AS0902</t>
  </si>
  <si>
    <t>Cla's - Autarquias - RAM</t>
  </si>
  <si>
    <t>II - Instituto de Informática, I. P.</t>
  </si>
  <si>
    <t>Pensões por antecipação da idade de reforma</t>
  </si>
  <si>
    <t>Transfª do Min. Saúde</t>
  </si>
  <si>
    <t>Conta da Segurança Social de 2011</t>
  </si>
  <si>
    <t>Transferência do Ministério da educação</t>
  </si>
  <si>
    <t>Transferências - CGA - Pensões Rádio Marconi</t>
  </si>
  <si>
    <t>Alienação Imoveis 2011</t>
  </si>
  <si>
    <t>Transferências correntes do OE - Receitas Cessantes</t>
  </si>
  <si>
    <t>Transferência de Serviços e Fundos Autónomos(POAP)</t>
  </si>
  <si>
    <t>Transferência de Serviços e Fundos Autónomos (POAT)</t>
  </si>
  <si>
    <t>Transfª de capital  de SFA's (PIDDAC - OSS)</t>
  </si>
  <si>
    <t>Benefícios diferidos - Rádio Marconi</t>
  </si>
  <si>
    <t>Compensação por cessação de contrato -DL 295/2009</t>
  </si>
  <si>
    <t>Cotizações do Subsistema Previdencial</t>
  </si>
  <si>
    <t>R.05.07</t>
  </si>
  <si>
    <t>R.05.08</t>
  </si>
  <si>
    <t>R.09</t>
  </si>
  <si>
    <t>Estado-Participação Com.Projectos Cofinanciados</t>
  </si>
  <si>
    <t xml:space="preserve">      Prog.de Desenvolvimento Social (QCAIII)</t>
  </si>
  <si>
    <t>SFA INATEL - Abrir portas à diferença</t>
  </si>
  <si>
    <t>DA113008</t>
  </si>
  <si>
    <t xml:space="preserve">      Contribuições e Quotizações</t>
  </si>
  <si>
    <t>Abono de família e 13.º mês</t>
  </si>
  <si>
    <t>POEFDS  - Medida 3.7 - Inter. Desconcentradas/Regionais (QCA III)</t>
  </si>
  <si>
    <t>Interreg capital - Anexo 20</t>
  </si>
  <si>
    <t>Outras receitas PAII</t>
  </si>
  <si>
    <t>RA113005/6/7/8</t>
  </si>
  <si>
    <t>RA221003/4</t>
  </si>
  <si>
    <t>RA222002</t>
  </si>
  <si>
    <t>Construções diversas</t>
  </si>
  <si>
    <t>D.07.01.06</t>
  </si>
  <si>
    <t>Material de transporte</t>
  </si>
  <si>
    <t>D.07.01.07</t>
  </si>
  <si>
    <t>Calamidades - Incêndios</t>
  </si>
  <si>
    <t>D.04.08.09.01.18</t>
  </si>
  <si>
    <t>D122001</t>
  </si>
  <si>
    <t>D.10.05.03.02</t>
  </si>
  <si>
    <t>D113001</t>
  </si>
  <si>
    <t>Repartição - Regime Geral</t>
  </si>
  <si>
    <t>D.04.08.09.01.01</t>
  </si>
  <si>
    <t>D.08.09</t>
  </si>
  <si>
    <t>Transfª p/ emprego, higiene e form. profissional</t>
  </si>
  <si>
    <t>Regime Esp. de Seg. Social das Act. Agrícolas</t>
  </si>
  <si>
    <t>Encargos com  isenção, redução ou bonificação das taxas contributivas</t>
  </si>
  <si>
    <t>D.04.08.08.02.02</t>
  </si>
  <si>
    <t>D112006</t>
  </si>
  <si>
    <t>Anexo 6</t>
  </si>
  <si>
    <t>D.04.08.09.01.05</t>
  </si>
  <si>
    <t>D.04.08.09.01.13</t>
  </si>
  <si>
    <t>D.04.08.09.01.06</t>
  </si>
  <si>
    <t>D.04.08.09.01.08</t>
  </si>
  <si>
    <t>D.04.08.09.01.07</t>
  </si>
  <si>
    <r>
      <t xml:space="preserve">Pensão </t>
    </r>
    <r>
      <rPr>
        <b/>
        <sz val="12"/>
        <rFont val="Arial"/>
        <family val="2"/>
      </rPr>
      <t>(d)</t>
    </r>
  </si>
  <si>
    <t>D.04.08.09.01.09</t>
  </si>
  <si>
    <t>D.04.08.09.01.10</t>
  </si>
  <si>
    <t>Subsistema de protecção famíliar</t>
  </si>
  <si>
    <t>R112002</t>
  </si>
  <si>
    <t>RA112001</t>
  </si>
  <si>
    <t>R.06.03.04.02</t>
  </si>
  <si>
    <t xml:space="preserve">  Transfª do MTSS</t>
  </si>
  <si>
    <t>R.06.03.04.04</t>
  </si>
  <si>
    <t>R.06.03.04.05</t>
  </si>
  <si>
    <t>Diferencial IVA (Lei 39/2005)</t>
  </si>
  <si>
    <t>R112009</t>
  </si>
  <si>
    <t>D.04.08.03.01.12</t>
  </si>
  <si>
    <t>D.04.08.03.01.13</t>
  </si>
  <si>
    <t>D.04.08.03.01.14</t>
  </si>
  <si>
    <t>D111005</t>
  </si>
  <si>
    <t>Prestações com doenças profissionais</t>
  </si>
  <si>
    <t>Complemento de Pensão - Portaria 193/79</t>
  </si>
  <si>
    <t>Outras receitas de capital</t>
  </si>
  <si>
    <t>D.04.07.02.02</t>
  </si>
  <si>
    <t>Cla's - IPSS</t>
  </si>
  <si>
    <t>D.04.08.03.01.01</t>
  </si>
  <si>
    <t>Familias - Rendimento Social de Inserção</t>
  </si>
  <si>
    <t>D111002</t>
  </si>
  <si>
    <t>Apoio Judiciário - Anexo 1</t>
  </si>
  <si>
    <t>D111003</t>
  </si>
  <si>
    <t>Regime de Solidariedade</t>
  </si>
  <si>
    <t>D.04.08.03.01.04</t>
  </si>
  <si>
    <t>D.04.03.05</t>
  </si>
  <si>
    <t>D111004</t>
  </si>
  <si>
    <t>Regime de Solidariedade - RNC</t>
  </si>
  <si>
    <r>
      <t xml:space="preserve">Complementos sociais &lt; pensão social </t>
    </r>
    <r>
      <rPr>
        <b/>
        <sz val="12"/>
        <rFont val="Arial"/>
        <family val="2"/>
      </rPr>
      <t>(a)</t>
    </r>
  </si>
  <si>
    <t>Subsídio de lar e outras prestações</t>
  </si>
  <si>
    <t>D.04.08.06.01.03</t>
  </si>
  <si>
    <t>D.04.08.06.01.04</t>
  </si>
  <si>
    <t xml:space="preserve">Prémios,taxas por garantias de risco e diferenças de câmbio       </t>
  </si>
  <si>
    <t>R.08.01.99</t>
  </si>
  <si>
    <t>Transferências de Capital</t>
  </si>
  <si>
    <t>Caixa Previdência EPAL</t>
  </si>
  <si>
    <t>Caixa Previdência Abono Familias Jornalistas</t>
  </si>
  <si>
    <t>Caixa Previdência Pessoal TLP</t>
  </si>
  <si>
    <t>CPPCR Gás Electricidade</t>
  </si>
  <si>
    <t>Fundo Socorro Social</t>
  </si>
  <si>
    <t>Abono de Família</t>
  </si>
  <si>
    <t>Outros programas e Prestações de Acção Social - inclui alinea b) e d)</t>
  </si>
  <si>
    <r>
      <t>AS1602</t>
    </r>
    <r>
      <rPr>
        <b/>
        <sz val="9"/>
        <color indexed="12"/>
        <rFont val="Arial"/>
        <family val="2"/>
      </rPr>
      <t xml:space="preserve"> (Anexo 16)</t>
    </r>
  </si>
  <si>
    <r>
      <t>AS1802</t>
    </r>
    <r>
      <rPr>
        <b/>
        <sz val="9"/>
        <color indexed="12"/>
        <rFont val="Arial"/>
        <family val="2"/>
      </rPr>
      <t xml:space="preserve"> (Anexo 7)</t>
    </r>
  </si>
  <si>
    <r>
      <t xml:space="preserve">AS1902 </t>
    </r>
    <r>
      <rPr>
        <b/>
        <sz val="9"/>
        <color indexed="12"/>
        <rFont val="Arial"/>
        <family val="2"/>
      </rPr>
      <t>(Anexo 17)</t>
    </r>
  </si>
  <si>
    <t xml:space="preserve">    Euromilhões / Programas sociais</t>
  </si>
  <si>
    <t>Contribuições e Quotizações</t>
  </si>
  <si>
    <t>Parte das Quotizações para capitalização</t>
  </si>
  <si>
    <t>Quotizações do Subsistema Previdencial</t>
  </si>
  <si>
    <t>Fundo Garantia Salarial</t>
  </si>
  <si>
    <t>AS2001</t>
  </si>
  <si>
    <t>Regime solidar. - Prot. Famil. Pol. Activ. Emp.</t>
  </si>
  <si>
    <t>D.04.08.08.02.01</t>
  </si>
  <si>
    <t xml:space="preserve">  Transf. Inst. Sem fins lucrativos</t>
  </si>
  <si>
    <t>D311001 / 2 / 3</t>
  </si>
  <si>
    <t>DA311001 / 2 / 3</t>
  </si>
  <si>
    <t>Resto do Mundo</t>
  </si>
  <si>
    <r>
      <t>AF*</t>
    </r>
    <r>
      <rPr>
        <b/>
        <sz val="9"/>
        <color indexed="12"/>
        <rFont val="Arial"/>
        <family val="2"/>
      </rPr>
      <t xml:space="preserve"> (Anexo 3)</t>
    </r>
  </si>
  <si>
    <r>
      <t>AS0202</t>
    </r>
    <r>
      <rPr>
        <b/>
        <sz val="9"/>
        <color indexed="12"/>
        <rFont val="Arial"/>
        <family val="2"/>
      </rPr>
      <t xml:space="preserve"> (Anexo 12)</t>
    </r>
  </si>
  <si>
    <t>Complemento de Desemprego</t>
  </si>
  <si>
    <r>
      <t>Subsídio de lar e outras prestações</t>
    </r>
    <r>
      <rPr>
        <b/>
        <sz val="12"/>
        <rFont val="Arial"/>
        <family val="2"/>
      </rPr>
      <t xml:space="preserve"> (e)</t>
    </r>
  </si>
  <si>
    <t>D113005</t>
  </si>
  <si>
    <t>Restituição de Cont. e outras receitas</t>
  </si>
  <si>
    <t>Acção social</t>
  </si>
  <si>
    <t>Acção Social</t>
  </si>
  <si>
    <t>Transferências do Ministério da Educação</t>
  </si>
  <si>
    <t xml:space="preserve">Outros Bens Investimento-Adm.Pub-Seg.Social   </t>
  </si>
  <si>
    <t>R.09.04.09</t>
  </si>
  <si>
    <t xml:space="preserve">Outros Bens Investimento-Inst.s.fins lucrat.  </t>
  </si>
  <si>
    <t>R.09.04.10</t>
  </si>
  <si>
    <t xml:space="preserve">Outros Bens Investimento-Famílias             </t>
  </si>
  <si>
    <t>R.09.04.11</t>
  </si>
  <si>
    <t xml:space="preserve">Outros Bens Investimento-Resto mundo-EU       </t>
  </si>
  <si>
    <t>R.09.04.12</t>
  </si>
  <si>
    <t xml:space="preserve">Outros Bens Investimento-RM-Pais terc-Org.Int </t>
  </si>
  <si>
    <t>R311003</t>
  </si>
  <si>
    <t>RA211005</t>
  </si>
  <si>
    <t>Funcionamento Estabelecimento Integrados - Anexo 10</t>
  </si>
  <si>
    <t>A.362*</t>
  </si>
  <si>
    <t>CALB - Anexo 11</t>
  </si>
  <si>
    <t>D211005</t>
  </si>
  <si>
    <t>Outros sub.eventuais</t>
  </si>
  <si>
    <t>D211006</t>
  </si>
  <si>
    <t>D211007</t>
  </si>
  <si>
    <t>Reembolso de empréstimos concedidos - FSS</t>
  </si>
  <si>
    <t>Min. Educação (componente social pré-escolar)</t>
  </si>
  <si>
    <t>IGFCSS</t>
  </si>
  <si>
    <t>TOTAL DESPESA</t>
  </si>
  <si>
    <t>Cimentos - Federação Caixa Previdência</t>
  </si>
  <si>
    <t>QCA III - Programa de Desenvolvimento Social</t>
  </si>
  <si>
    <t>QCA III - Intervenções Desconcentradas/PORLVT</t>
  </si>
  <si>
    <t>PIDDAC - FEDER - U. E.</t>
  </si>
  <si>
    <t>R.10.09.01.01</t>
  </si>
  <si>
    <t>Administração - POAP (IGFSS)</t>
  </si>
  <si>
    <t>R.06.03.13</t>
  </si>
  <si>
    <t>R311003.0</t>
  </si>
  <si>
    <t>RA311003.0</t>
  </si>
  <si>
    <t>Administração - POAP (ISS)</t>
  </si>
  <si>
    <t xml:space="preserve">Regime Não Contributivo </t>
  </si>
  <si>
    <t>INATEL</t>
  </si>
  <si>
    <t>D.04.03.07.04</t>
  </si>
  <si>
    <t>Jogos Sociais / Restantes Programas</t>
  </si>
  <si>
    <t>AS2202</t>
  </si>
  <si>
    <t>D.02.01.04</t>
  </si>
  <si>
    <t>Limpeza e higiene</t>
  </si>
  <si>
    <t>D.04.07.03.02.13</t>
  </si>
  <si>
    <t>AS2302</t>
  </si>
  <si>
    <t>Autoridade p/ as Condições de Trabalho</t>
  </si>
  <si>
    <t>Projectos Sociais cofinanciados pelo FSE</t>
  </si>
  <si>
    <t>AS0102</t>
  </si>
  <si>
    <t>Projectos de Acção Contra a Pobreza - Anexo 12</t>
  </si>
  <si>
    <t>Luta Contra a Pobreza</t>
  </si>
  <si>
    <t>AS0202</t>
  </si>
  <si>
    <t>Receitas de capital</t>
  </si>
  <si>
    <t>Amortizações de Empréstimos Concedidos</t>
  </si>
  <si>
    <t>Lei 2092 e outros</t>
  </si>
  <si>
    <t xml:space="preserve">  Projectos co-financiados (OE)</t>
  </si>
  <si>
    <t>R.10.03.06</t>
  </si>
  <si>
    <t>OSS Revisto</t>
  </si>
  <si>
    <t xml:space="preserve">CSS                                 </t>
  </si>
  <si>
    <t>Peso relativo de cd rubrica no total em %</t>
  </si>
  <si>
    <t xml:space="preserve">     Grau de Execução           Orçamental em %      </t>
  </si>
  <si>
    <t>(4)=(2)/(1)</t>
  </si>
  <si>
    <t>Em valor absoluto</t>
  </si>
  <si>
    <t>(5)=(2-1)</t>
  </si>
  <si>
    <t>Desvio Orçamental</t>
  </si>
  <si>
    <t>Em %</t>
  </si>
  <si>
    <t>Saldo do ano anterior (1)</t>
  </si>
  <si>
    <t>Regularização ao saldo do ano anterior    (2)</t>
  </si>
  <si>
    <t>Saldo do ano anterior - Ajustado  (3) = (1) ± (2)</t>
  </si>
  <si>
    <t>Saldo do ano anterior sem aplicação em despesa (4)</t>
  </si>
  <si>
    <t>Saldo do ano anterior com aplicação em despesa (5)</t>
  </si>
  <si>
    <t>Interreg capital</t>
  </si>
  <si>
    <t>D311001</t>
  </si>
  <si>
    <t>Administração - Anexo 2</t>
  </si>
  <si>
    <t>Outras Receitas - Ser criança</t>
  </si>
  <si>
    <t>Saldos e Transferências</t>
  </si>
  <si>
    <t>D.04.08.09.01.02</t>
  </si>
  <si>
    <t>D.04.08.09.01.03</t>
  </si>
  <si>
    <t>D.04.08.09.01.04</t>
  </si>
  <si>
    <t>DCRI</t>
  </si>
  <si>
    <t>D113002</t>
  </si>
  <si>
    <t>Anexo 5</t>
  </si>
  <si>
    <t>DAPRP</t>
  </si>
  <si>
    <t>D113003</t>
  </si>
  <si>
    <t>Rendas - Terrenos</t>
  </si>
  <si>
    <t>R.05.10.03</t>
  </si>
  <si>
    <t>Interreg - capital</t>
  </si>
  <si>
    <t xml:space="preserve">  Transferências de Capital</t>
  </si>
  <si>
    <t>D.08.03.01.01</t>
  </si>
  <si>
    <t xml:space="preserve">  Transf. Adm. Central - Estado</t>
  </si>
  <si>
    <t xml:space="preserve">  Transf. Adm. Central - SFA</t>
  </si>
  <si>
    <t>Com suporte no OE</t>
  </si>
  <si>
    <t>Programa apoio Integrado a Idosos - PAII</t>
  </si>
  <si>
    <t>R.07.01.07</t>
  </si>
  <si>
    <t xml:space="preserve">Prod.alim.bebidas   </t>
  </si>
  <si>
    <t xml:space="preserve">Impres.publi.vend. </t>
  </si>
  <si>
    <t>R.07.01.09</t>
  </si>
  <si>
    <t xml:space="preserve">Matérias de consumo </t>
  </si>
  <si>
    <t xml:space="preserve">Desp.resid.refugos  </t>
  </si>
  <si>
    <t>Prod.acabados e int.</t>
  </si>
  <si>
    <t>D.04.04.01.02</t>
  </si>
  <si>
    <t>D.04.07.03.02.01</t>
  </si>
  <si>
    <t>Programa de Apoio à 1ª Infância - PAPI</t>
  </si>
  <si>
    <t>Parte das Quotizações para Capitalização</t>
  </si>
  <si>
    <t>RA211003</t>
  </si>
  <si>
    <t>Projectos de Apoio à Família e à Criança (PAFAC)</t>
  </si>
  <si>
    <r>
      <t xml:space="preserve">Minist. da Defesa Nacional </t>
    </r>
    <r>
      <rPr>
        <i/>
        <sz val="9"/>
        <rFont val="Times New Roman"/>
        <family val="1"/>
      </rPr>
      <t>(artº 39 do DL 118/04+divida de 2004 a 2006)</t>
    </r>
  </si>
  <si>
    <t>Complementos sociais</t>
  </si>
  <si>
    <t>Subsistema de Protecção Familiar</t>
  </si>
  <si>
    <t>D.04.08.03.09.01</t>
  </si>
  <si>
    <t>D.04.08.03.09.02</t>
  </si>
  <si>
    <t>D.04.08.03.09.03</t>
  </si>
  <si>
    <t xml:space="preserve"> II.Despesas de Capital</t>
  </si>
  <si>
    <t>D121001</t>
  </si>
  <si>
    <t>Transferências do OE</t>
  </si>
  <si>
    <t>D.08.03.06</t>
  </si>
  <si>
    <t>D112001</t>
  </si>
  <si>
    <t>Impressos e publicações vendáveis</t>
  </si>
  <si>
    <t>R.07.01.10</t>
  </si>
  <si>
    <t>SISTEMA DE PROTECÇÃO SOCIAL DE CIDADANIA</t>
  </si>
  <si>
    <t>Produtos acabados e intermédios</t>
  </si>
  <si>
    <t xml:space="preserve">Outros Bens Investimento - Soc.quase soc.n.fin  </t>
  </si>
  <si>
    <t>R.09.04.02</t>
  </si>
  <si>
    <t>Regime Especial de Segurança Social dos Ferroviários</t>
  </si>
  <si>
    <t>D.04.08.03.04.01</t>
  </si>
  <si>
    <t>Transf. SFA's - Proj. Form. Profissional - ISS's</t>
  </si>
  <si>
    <t>Subsídio desemprego e apoio ao emprego..</t>
  </si>
  <si>
    <t>Sub.fam.crianças e jovens c/ def.-bonificação</t>
  </si>
  <si>
    <t>AFP/FSE (inclui outras receitas, rendimentos e transferências FSE)</t>
  </si>
  <si>
    <t>Educação pré-escolar</t>
  </si>
  <si>
    <t>D.04.07.03.01.99</t>
  </si>
  <si>
    <t>Transfª do Minist. da Defesa Nacional (Benef. Ant. Combatentes 2004 a 2006)</t>
  </si>
  <si>
    <t>Transferências correntes do OE - actualização pensões</t>
  </si>
  <si>
    <t xml:space="preserve">   Para financiamento do QREN - Linha de crédio</t>
  </si>
  <si>
    <t>Transferência do Subsistema Solidariedade /FAQ 2004-2006 (1a2)</t>
  </si>
  <si>
    <t>Transferência do Subsistema Acção Social (1a3)</t>
  </si>
  <si>
    <t>Transferência do Subsistema de Protecção Familiar (1a4)</t>
  </si>
  <si>
    <t>Acréscimo Vitalício de Pensão</t>
  </si>
  <si>
    <t>Suplemento Especial de Pensão</t>
  </si>
  <si>
    <t>Complemento Especial de Pensão</t>
  </si>
  <si>
    <r>
      <t xml:space="preserve">Benefícios dos Antigos Combatentes </t>
    </r>
    <r>
      <rPr>
        <sz val="14"/>
        <rFont val="Calibri"/>
        <family val="2"/>
      </rPr>
      <t>(Relativos ao período de 2004 a 2008)</t>
    </r>
  </si>
  <si>
    <t>Plano Emergência - Calamidades - Incêndios - Anexo 17</t>
  </si>
  <si>
    <t>AS1602</t>
  </si>
  <si>
    <t>Programa voluntariado - Anexo 18</t>
  </si>
  <si>
    <t>AS1702</t>
  </si>
  <si>
    <t>Emergência Social</t>
  </si>
  <si>
    <t>Transf. Famílias - sub eventual fam. carência</t>
  </si>
  <si>
    <t xml:space="preserve">Outros              </t>
  </si>
  <si>
    <t>Sub-total do Subsistema  (3a) = (4a ) + (5)  -  (1a1) - (1a2) - (1a3) =Receita própria  + saldo com aplicação em despesa  - transferências internas obtidas</t>
  </si>
  <si>
    <t>Saldo Orçamental Repartição na óptica da contabilidade pública</t>
  </si>
  <si>
    <t>Programa de Apoio à 1ª Infância</t>
  </si>
  <si>
    <t>AS1102</t>
  </si>
  <si>
    <t>Plano de Emergência - Anexo 14</t>
  </si>
  <si>
    <t>AS1202</t>
  </si>
  <si>
    <t>Prevenção e Reabilitação de Deficientes - alinea d)</t>
  </si>
  <si>
    <t>Desenv. Programas, medidas e projectos Acção Social - alinea a)</t>
  </si>
  <si>
    <t>Subsídios à formação profissional</t>
  </si>
  <si>
    <t>Inspecção Geral do Trabalho</t>
  </si>
  <si>
    <t>Equivalência actuarial</t>
  </si>
  <si>
    <t>D.04.04.01.01</t>
  </si>
  <si>
    <t>D.04.04.02.01</t>
  </si>
  <si>
    <t>Programa para conforto das hab. dos idosos</t>
  </si>
  <si>
    <t>AS15*</t>
  </si>
  <si>
    <t>D.04.07.03.02.11</t>
  </si>
  <si>
    <t>Transf.ª Correntes p/ Inst. sem fins lucrativos</t>
  </si>
  <si>
    <t>Administração regional - RAM - OSS</t>
  </si>
  <si>
    <t>Transferências do exterior</t>
  </si>
  <si>
    <t>Equipamento básico</t>
  </si>
  <si>
    <t>D.07.01.11</t>
  </si>
  <si>
    <t>Ferramentas e utensílios</t>
  </si>
  <si>
    <t>QCA III - POEFDS/PORLVT - medida 3.7 (OE)</t>
  </si>
  <si>
    <t>QCA III - POEFDS/PORLVT - medida 3.7 (FEDER)</t>
  </si>
  <si>
    <t>D211010</t>
  </si>
  <si>
    <t>D211010+PJ*</t>
  </si>
  <si>
    <t>DA123001+PJ*</t>
  </si>
  <si>
    <t>D.04.08.08.01.02</t>
  </si>
  <si>
    <t>D.04.08.08.01.03</t>
  </si>
  <si>
    <t>D.04.08.08.01.04</t>
  </si>
  <si>
    <t>D.04.08.08.01.05</t>
  </si>
  <si>
    <t>D.04.08.08.01.06</t>
  </si>
  <si>
    <t>Sistema previdencial</t>
  </si>
  <si>
    <t xml:space="preserve">  Quotizações dos trabalhadores</t>
  </si>
  <si>
    <t xml:space="preserve">  Contribuições </t>
  </si>
  <si>
    <t>Restantes Subtotais do Subsistema de Protecção Familiar</t>
  </si>
  <si>
    <t>RA221001</t>
  </si>
  <si>
    <t>DA211005</t>
  </si>
  <si>
    <t>Desperdícios, resíduos e refugos</t>
  </si>
  <si>
    <t>R.07.01.11</t>
  </si>
  <si>
    <t>Pensões Desalojados das Ex-colónias</t>
  </si>
  <si>
    <t>R111004</t>
  </si>
  <si>
    <t>RA111003</t>
  </si>
  <si>
    <t>R.04.01.01</t>
  </si>
  <si>
    <t>Taxas de justiça</t>
  </si>
  <si>
    <t>RECEITAS  DE CAPITAL</t>
  </si>
  <si>
    <t>AFP2*</t>
  </si>
  <si>
    <t>AFP3*</t>
  </si>
  <si>
    <t>Outras receitas - Acções de Formação OSS</t>
  </si>
  <si>
    <t>Compensação cessação contrato de trabalho</t>
  </si>
  <si>
    <t>Administração Regional - Região Autónoma da Madeira;</t>
  </si>
  <si>
    <t xml:space="preserve">Outros Bens Investimento-Soc.financeiras      </t>
  </si>
  <si>
    <t>PARES - Acção Social</t>
  </si>
  <si>
    <t>Prog. Luta contra a SIDA</t>
  </si>
  <si>
    <t>D.04.08.04.01.06</t>
  </si>
  <si>
    <t>Ac.ap.des.out-Desalojados</t>
  </si>
  <si>
    <t>D.04.08.04.01.07</t>
  </si>
  <si>
    <t>Ac.a.des.out-Candidatos a asilo</t>
  </si>
  <si>
    <t>D.04.08.04.01.08</t>
  </si>
  <si>
    <t>R.09.04.04</t>
  </si>
  <si>
    <t>D.04.08.03.10.03</t>
  </si>
  <si>
    <t>Vitalício</t>
  </si>
  <si>
    <t>DA111004 (Anexo 1)</t>
  </si>
  <si>
    <t>Investimentos</t>
  </si>
  <si>
    <t>D111015</t>
  </si>
  <si>
    <t>D.04.08.03.01.16</t>
  </si>
  <si>
    <t>Maternidade/Paternidade (artº 39 do DL 118/2004)</t>
  </si>
  <si>
    <t>D.04.08.03.01.17</t>
  </si>
  <si>
    <t>S.amas f.ac.-Actividades de amas</t>
  </si>
  <si>
    <t>D.04.08.04.01.02</t>
  </si>
  <si>
    <t>Projectos não cofinanciados</t>
  </si>
  <si>
    <t xml:space="preserve">      Projectos não cofinanciados</t>
  </si>
  <si>
    <t xml:space="preserve">     Projectos não cofinanciados</t>
  </si>
  <si>
    <t>PIDDAC - OE - Administração Central - Estado</t>
  </si>
  <si>
    <t>D.04.07.03.01.01</t>
  </si>
  <si>
    <t>TOTAL ORÇAMENTO DESPESA</t>
  </si>
  <si>
    <t>Bonificação por deficiência a crianças e jovens</t>
  </si>
  <si>
    <t>D.04.08.03.01.18</t>
  </si>
  <si>
    <t>Empréstimos Obtidos</t>
  </si>
  <si>
    <t>P/ fin. Acção Social - Casa Pia Lisboa</t>
  </si>
  <si>
    <t>Mapa Subsistemas</t>
  </si>
  <si>
    <t>AS0602</t>
  </si>
  <si>
    <t>AS0702</t>
  </si>
  <si>
    <t>Saldo orçamental global</t>
  </si>
  <si>
    <t>SALDO ORÇAMENTAL GLOBAL</t>
  </si>
  <si>
    <t>D.08.07.03.02</t>
  </si>
  <si>
    <t>Com suporte no IEFP</t>
  </si>
  <si>
    <t>D.08.07.03.09</t>
  </si>
  <si>
    <t/>
  </si>
  <si>
    <t>Transferências correntes - Adm. Central - Estado</t>
  </si>
  <si>
    <t>RA113002</t>
  </si>
  <si>
    <t>RA113003</t>
  </si>
  <si>
    <t>D111010</t>
  </si>
  <si>
    <t>R211003</t>
  </si>
  <si>
    <t>RA113006</t>
  </si>
  <si>
    <t>R211005</t>
  </si>
  <si>
    <t>RA113007</t>
  </si>
  <si>
    <t>Outras receitas - Fundo Socorro Social</t>
  </si>
  <si>
    <t>R211004</t>
  </si>
  <si>
    <t>RA113008</t>
  </si>
  <si>
    <t>R.06.07.01.01.04</t>
  </si>
  <si>
    <t>Rec. Total do Sist. Previd. - Repartição (2a) = (3) + (4a) + ( (1a1) + (1a2) + (1a3) ) = Saldo ano anterior ajustado + receita própria + transf. internas obtidas</t>
  </si>
  <si>
    <t>Restantes Subtotais do Subsistema Previdencial - Repartição</t>
  </si>
  <si>
    <t xml:space="preserve">Receita própria (4a) =(I) + (II) =  Receita Total  - saldo inicial - transferências internas obtidas </t>
  </si>
  <si>
    <t xml:space="preserve">Sub-total do sistema (5a) = (2a) - (3)  = Receita Total  - saldo inicial total   </t>
  </si>
  <si>
    <t>Comparticipações  de Acção Social</t>
  </si>
  <si>
    <t>R.07.02.99.02</t>
  </si>
  <si>
    <t>PIDDAC OE</t>
  </si>
  <si>
    <t>Instituto para a Qualificação na Formação</t>
  </si>
  <si>
    <t xml:space="preserve"> II.Capital</t>
  </si>
  <si>
    <t>RECEITAS CORRENTES</t>
  </si>
  <si>
    <t>Adicional ao I.V.A.</t>
  </si>
  <si>
    <t>Intervenções Desconcentradas/Regionais (QCA III)</t>
  </si>
  <si>
    <t>D.04.08.03.02.04</t>
  </si>
  <si>
    <t>D.04.08.03.02.05</t>
  </si>
  <si>
    <t>Financiamento Bipartido - Regime de Capitalização</t>
  </si>
  <si>
    <t>Prog. Coop. Q. Seg. R. Social</t>
  </si>
  <si>
    <t>A.xxx</t>
  </si>
  <si>
    <t>Interreg correntes - Anexo 20</t>
  </si>
  <si>
    <t>Do FEDER</t>
  </si>
  <si>
    <t xml:space="preserve">      Intervenç. Desconcentradas/Reg,(QCAIII)</t>
  </si>
  <si>
    <t xml:space="preserve">   Do OSS</t>
  </si>
  <si>
    <t>Restantes Subtotais do Sistema Previdencial - Capitalização</t>
  </si>
  <si>
    <t xml:space="preserve">Sub-total do Sistema (5a) = (2a) - (3)  = Receita Total  - saldo inicial total   </t>
  </si>
  <si>
    <t>Total s/ transf.e saldos internos entre subsistemas</t>
  </si>
  <si>
    <t>Subsídio social de desemprego</t>
  </si>
  <si>
    <t>RA211001</t>
  </si>
  <si>
    <t>RA211002</t>
  </si>
  <si>
    <t>Acção Social / Fundo de Socorro Social</t>
  </si>
  <si>
    <t>Rendimento Social de Inserção (ex-RMG)</t>
  </si>
  <si>
    <t>D.04.08.03.05.03</t>
  </si>
  <si>
    <t>Linha de crédito</t>
  </si>
  <si>
    <t>Outras receitas - Ser Criança</t>
  </si>
  <si>
    <t>Outras receitas - PAII</t>
  </si>
  <si>
    <t>Outras Transferências Correntes</t>
  </si>
  <si>
    <t>Outras Despesas e Transferências de Capital</t>
  </si>
  <si>
    <t>Transferências Correntes</t>
  </si>
  <si>
    <t>Pxxxxxxxxx</t>
  </si>
  <si>
    <t>Anexo 7</t>
  </si>
  <si>
    <t>PIDDAC - OSS - Apoio à tomada decisão</t>
  </si>
  <si>
    <t xml:space="preserve"> II.Despesas deCapital</t>
  </si>
  <si>
    <t>D123002</t>
  </si>
  <si>
    <t>Subs. Familiar a crianças e jovens (artº 39 do DL 118/2004)</t>
  </si>
  <si>
    <t>D.04.08.03.01.19</t>
  </si>
  <si>
    <t>Bonificação def. a crianças e jovens (artº 39 do DL 118/2004)</t>
  </si>
  <si>
    <t>D.01.01.03</t>
  </si>
  <si>
    <t>SFA - INATEL - Turismo Solidário</t>
  </si>
  <si>
    <t>SCM de Lisboa - Departamento de Jogos</t>
  </si>
  <si>
    <t>SALDO ORÇAMENTAL ÓPTICA CONT. PÚBLICA</t>
  </si>
  <si>
    <t>R.06.07.01.01.05</t>
  </si>
  <si>
    <t>Financiamento bipartido - Regime de Repartição</t>
  </si>
  <si>
    <t>RA111002</t>
  </si>
  <si>
    <t>Abono de familia - 13 º mês</t>
  </si>
  <si>
    <t>D.04.08.05.01.02</t>
  </si>
  <si>
    <t xml:space="preserve"> Orçamento da Segurança Social - 2008</t>
  </si>
  <si>
    <t>Transfª p/ Sistema Previdencial - Repartição (2b2)</t>
  </si>
  <si>
    <t>Transfª p/ Subsistema Solidariedade (2b3)</t>
  </si>
  <si>
    <t>Total   (5b)= (1b) + (2b1+2b2+2b3) + (3b)  = Despesa própria + transf. internas concedidas + saldo final global</t>
  </si>
  <si>
    <t>Saldo do Subsistema Acção Social (1b)</t>
  </si>
  <si>
    <t>Transfª p/ Subsistema Previdencial- Repartição (2b1)</t>
  </si>
  <si>
    <t>Saldo Orçamental Sistema Previdencial - Capitalização</t>
  </si>
  <si>
    <t>Regime Especial de Segurança Social das Actividades Agrícolas</t>
  </si>
  <si>
    <t>D.04.08.03.03.01</t>
  </si>
  <si>
    <t>D.04.08.03.03.02</t>
  </si>
  <si>
    <t>D.04.08.03.03.03</t>
  </si>
  <si>
    <t>Transf.ª Capital p/ Instituições sem fins lucrativos</t>
  </si>
  <si>
    <t>D.08.07.04.02</t>
  </si>
  <si>
    <t>Total   (5b)= (1b) + (2b) + (3b)  = Despesa própria + transferências internas concedidas + saldo final global</t>
  </si>
  <si>
    <t>ORÇAMENTO DA SEGURANÇA SOCIAL - 2008</t>
  </si>
  <si>
    <t>Projectos não co-financiados (OE)</t>
  </si>
  <si>
    <t>DA211002 (Anexo 6)</t>
  </si>
  <si>
    <t xml:space="preserve">Pensão </t>
  </si>
  <si>
    <t>Transferências correntes - Estado</t>
  </si>
  <si>
    <t xml:space="preserve">Sub-total do subsistema (3b) = Despesa própria ( Sem transf. internas concedidas) </t>
  </si>
  <si>
    <t>Sub-total do subsistema (4b) = (3b) + (2b1+2b2+2b3)= Desp. total ( Desp. própria + transf. internas concedidas) = Mapa XIV</t>
  </si>
  <si>
    <t xml:space="preserve">Sub-total do subsistema (3b) = Despesa própria ( Sem transferências internas concedidas)  </t>
  </si>
  <si>
    <t>Sub-total do Subsistema (6a) = (4a) + (1a1) + (5) = Rec. Própria + Transf. internas obtidas + Saldo inicial com aplic. em despesa = Mapa XIII</t>
  </si>
  <si>
    <t>Sub-total do subsistema (4b) = (3b) + (2b1+2b2+2b3)= Desp. total ( Desp. própria + transf. internas concedidas)  = Mapa XIV</t>
  </si>
  <si>
    <t xml:space="preserve">Alienação Imoveis </t>
  </si>
  <si>
    <t xml:space="preserve">Sub-total do sistema  (3a) =(4a ) + (5) - (1a1) - (1a2) -(1a3) =Receita própria  + saldo com aplicação em despesa  - transferências internas obtidas </t>
  </si>
  <si>
    <t>Sub-total do sistema (6a) = (4a) + ( (1a1) + (1a2) ) + (1a3) + (5) = Rec. Própria + Transf. internas obtidas + Saldo inicial com aplic. em despesa = Mapa XIII</t>
  </si>
  <si>
    <t xml:space="preserve">Sub-total do sistema (3b) = Despesa própria ( Sem transferências internas concedidas)  </t>
  </si>
  <si>
    <t>Sub-total do sistema (4b) = (3b) + (2b1+2b2)= Desp. total ( Desp. própria + transf. internas concedidas)  = Mapa XIV</t>
  </si>
  <si>
    <t xml:space="preserve">Sub-total do Sistema  (3a) = (4a ) + (5)  - (1a1) = Receita própria  + saldo com aplicação em despesa  - transferências internas obtidas  </t>
  </si>
  <si>
    <t>Sub-total do sistema (4b) = (3b) + (2b)= Despesa total ( Despesa própria + transferências internas concedidas)  = Mapa XIV</t>
  </si>
  <si>
    <t>Saldo final parcial (Considerando o saldo inicial com aplicação em despesa )  (6b) = (6a) - (4b)</t>
  </si>
  <si>
    <t>Saldo do Subsistema Protecção Familiar (1b)</t>
  </si>
  <si>
    <t>Transfª p/ Subsistema Acção Social (2b1)</t>
  </si>
  <si>
    <t>D.04.07.03.02.19</t>
  </si>
  <si>
    <t>D.04.08.10</t>
  </si>
  <si>
    <t>RAM-Transferências emprego e formação profissional</t>
  </si>
  <si>
    <t>AFP*</t>
  </si>
  <si>
    <t>Subsídios à formação profissional - Anexo 4</t>
  </si>
  <si>
    <t>Subs. Solidariedade associado ao Subsistema de Protc. Fam. Pol. Act. Emp.</t>
  </si>
  <si>
    <t>D112005</t>
  </si>
  <si>
    <t xml:space="preserve">  Outros Regimes Especiais</t>
  </si>
  <si>
    <t>Transfª p/ Subsistema Solidariedade (2b2)</t>
  </si>
  <si>
    <t>Transfª p/ Subsistema Protecção Familiar (2b3)</t>
  </si>
  <si>
    <t>Total   (5b)= (1b) + (2b1+2b2+2b3) + (3b)  = Desp. própria + transf. internas concedidas + saldo final global</t>
  </si>
  <si>
    <t>Saldo do Sistema Previdencial - Repartição (1b1)</t>
  </si>
  <si>
    <t>Saldo do Sistema Previdencial - AFP/FSE (1b2)</t>
  </si>
  <si>
    <t>Saldos de gerência</t>
  </si>
  <si>
    <t>MAOTDR + INH - Subsidio de renda</t>
  </si>
  <si>
    <t>Min.Educação (comp. educ.pré-escolar / IPSS)</t>
  </si>
  <si>
    <t xml:space="preserve">      Encargos com cooperação externa </t>
  </si>
  <si>
    <t>Imobilizado - IGFCSS</t>
  </si>
  <si>
    <t>Outros Activos financeiros</t>
  </si>
  <si>
    <t>Inserção soc. fam. crianças e jov. em lares</t>
  </si>
  <si>
    <t>D.04.07.03.02.14</t>
  </si>
  <si>
    <t>D.04.08.08.01.08</t>
  </si>
  <si>
    <t>D112003+F*</t>
  </si>
  <si>
    <t>Outras</t>
  </si>
  <si>
    <t>SISTEMA PREVIDENCIAL - REPARTIÇÃO</t>
  </si>
  <si>
    <t>SISTEMA PREVIDENCIAL - CAPITALIZAÇÃO</t>
  </si>
  <si>
    <t>Total do Subsistema Previdencial - Capitalização</t>
  </si>
  <si>
    <t>Mapa IX - Receita =</t>
  </si>
  <si>
    <t>RA's-Transferências emprego e formação profissional</t>
  </si>
  <si>
    <t>D.04.04……..</t>
  </si>
  <si>
    <t xml:space="preserve">Resp.integr/artic.  </t>
  </si>
  <si>
    <t>D.04.07.03.01.04</t>
  </si>
  <si>
    <t>Sub.refugiados e apátridas</t>
  </si>
  <si>
    <t>D.04.08.04.01.12</t>
  </si>
  <si>
    <t>Prev.reabil.-Ajudas técnicas</t>
  </si>
  <si>
    <t>D.04.08.04.01.13</t>
  </si>
  <si>
    <t xml:space="preserve">ATL                 </t>
  </si>
  <si>
    <t>D.04.08.04.01.14</t>
  </si>
  <si>
    <t>Transfª correntes - resto do Mundo - FSE - QCAIII</t>
  </si>
  <si>
    <t>Transferências de saldos de gerência</t>
  </si>
  <si>
    <t>R.06.03.09.01.01</t>
  </si>
  <si>
    <t>Adicional ao IVA</t>
  </si>
  <si>
    <t>Transferências do OE - CPN - QREN</t>
  </si>
  <si>
    <t xml:space="preserve">TRANSF. e SUBSÍDIOS CORRENTES </t>
  </si>
  <si>
    <t>Receita efectiva</t>
  </si>
  <si>
    <t>Despesa efectiva</t>
  </si>
  <si>
    <t>Projectos de formação profissional</t>
  </si>
  <si>
    <t>Outras receitas capital</t>
  </si>
  <si>
    <t>Subsídios Correntes - Subsidios de Form. Prof.</t>
  </si>
  <si>
    <t>Transferências do MTSS</t>
  </si>
  <si>
    <t>D.04.08.04.01.03</t>
  </si>
  <si>
    <t xml:space="preserve">Sub.eventuais familias em carência </t>
  </si>
  <si>
    <t>D.04.08.04.01.04</t>
  </si>
  <si>
    <t>Acções apoio toxicodependentes</t>
  </si>
  <si>
    <t>D.04.08.04.01.05</t>
  </si>
  <si>
    <t>R.06.07.01.01.99</t>
  </si>
  <si>
    <t>R211006</t>
  </si>
  <si>
    <t>R211007</t>
  </si>
  <si>
    <t>R211008</t>
  </si>
  <si>
    <t>RA113005</t>
  </si>
  <si>
    <t>R.05.02.01</t>
  </si>
  <si>
    <t>Juros - Soc. Financeiras- Bancos</t>
  </si>
  <si>
    <t>Outras - part. Comunitária</t>
  </si>
  <si>
    <t>D.08.09.02</t>
  </si>
  <si>
    <t>Juros Inst. s fins luc. - Empréstimos concedidos</t>
  </si>
  <si>
    <t>R.05.04.00.99</t>
  </si>
  <si>
    <t xml:space="preserve">Juros Inst. s fins luc. - Outros </t>
  </si>
  <si>
    <t>R.05.05.00.01</t>
  </si>
  <si>
    <r>
      <t xml:space="preserve">MAOTDR - subsidio de renda </t>
    </r>
    <r>
      <rPr>
        <b/>
        <sz val="15"/>
        <rFont val="Calibri"/>
        <family val="2"/>
      </rPr>
      <t>(RAU)</t>
    </r>
  </si>
  <si>
    <r>
      <t xml:space="preserve">Inst. da Habitação e Reab. Urbana - subsidio de renda </t>
    </r>
    <r>
      <rPr>
        <b/>
        <sz val="15"/>
        <rFont val="Calibri"/>
        <family val="2"/>
      </rPr>
      <t>(NRAU)</t>
    </r>
  </si>
  <si>
    <r>
      <t>Transfª do Minist. da Defesa Nacional</t>
    </r>
    <r>
      <rPr>
        <sz val="15"/>
        <rFont val="Calibri"/>
        <family val="2"/>
      </rPr>
      <t xml:space="preserve"> (artº 39 do DL 118/04)</t>
    </r>
  </si>
  <si>
    <r>
      <t xml:space="preserve">Transfª do Minist. da Defesa Nacional </t>
    </r>
    <r>
      <rPr>
        <sz val="15"/>
        <rFont val="Calibri"/>
        <family val="2"/>
      </rPr>
      <t>(divida de 2004 a 2006)</t>
    </r>
  </si>
  <si>
    <t>Juros Famil. - Empréstimos de financiamento</t>
  </si>
  <si>
    <t xml:space="preserve">R.05.06.01 </t>
  </si>
  <si>
    <t>ISS - Instituto da Segurança Social, I. P.</t>
  </si>
  <si>
    <t>Despesas com pessoal</t>
  </si>
  <si>
    <t>Programa de Apoio Integrado a Idosos (PAII)</t>
  </si>
  <si>
    <t>Receitas fiscais consignadas</t>
  </si>
  <si>
    <t>Complementos por cônjuge a cargo</t>
  </si>
  <si>
    <t>Contrato de Desenvolvimento Social</t>
  </si>
  <si>
    <t>D.04.08.03.02.06</t>
  </si>
  <si>
    <t>D111006</t>
  </si>
  <si>
    <t>Regime de Solidariedade - RESSAAgricolas</t>
  </si>
  <si>
    <t xml:space="preserve">Outros Bens Investimento-Adm.Pub-Adm.Cen-SFA  </t>
  </si>
  <si>
    <t>D.04.03.05.01.01</t>
  </si>
  <si>
    <t>Transfª capital p/ administração central / exterior</t>
  </si>
  <si>
    <t>R.05.01.02</t>
  </si>
  <si>
    <t>Juros soc. não finan. - Privadas</t>
  </si>
  <si>
    <t>Subsidio por assist.à terceira pessoa a crianças e jovens</t>
  </si>
  <si>
    <t>D.04.08.03.06.06</t>
  </si>
  <si>
    <t>Subsidio por assist.à terceira pessoa a adultos</t>
  </si>
  <si>
    <t>D.04.08.03.06.07</t>
  </si>
  <si>
    <t>Rendas - Edíficios</t>
  </si>
  <si>
    <t>R.05.10.99</t>
  </si>
  <si>
    <t>Empréstimos concedidos  (FSS)</t>
  </si>
  <si>
    <t>Aquisição de bens e serviços</t>
  </si>
  <si>
    <t>Acções + Projectos de formação profissional  - Anexo 3</t>
  </si>
  <si>
    <t>D112004</t>
  </si>
  <si>
    <t>Transfª p/ emprego, higiene e for.o prof.</t>
  </si>
  <si>
    <t>Amortizações</t>
  </si>
  <si>
    <t>CSS</t>
  </si>
  <si>
    <t>(e) - Apartir de esta rubrica de classificação económica só inclui Subbsidio de Lar e outras prestações (exº apoio social)</t>
  </si>
  <si>
    <t>Total do Sub. de P.F.P.A .Emprego e Formação profissional</t>
  </si>
  <si>
    <t>R.06.03.02.01</t>
  </si>
  <si>
    <t>Receita do IVA - Lei 39/2005</t>
  </si>
  <si>
    <t>Transfª do MTSS</t>
  </si>
  <si>
    <t>Transferências do Subsistema Previdencial</t>
  </si>
  <si>
    <t>Amortizações de empréstimos</t>
  </si>
  <si>
    <t>D.04.08.05.01.06</t>
  </si>
  <si>
    <t>D.04.08.05.01.07</t>
  </si>
  <si>
    <t>D.04.08.06.01.01</t>
  </si>
  <si>
    <t>D.04.08.06.01.02</t>
  </si>
  <si>
    <t>Outras despesas de capital - Anexo 8</t>
  </si>
  <si>
    <t>Administração - Fundo de Socorro Social</t>
  </si>
  <si>
    <t xml:space="preserve">Estrutura de Missão Contra Violência Doméstica </t>
  </si>
  <si>
    <t>D.04.07.03.02.18</t>
  </si>
  <si>
    <t>Deficiência</t>
  </si>
  <si>
    <t>D.04.07.03.02.17</t>
  </si>
  <si>
    <t>Programa de voluntariado</t>
  </si>
  <si>
    <t>AS1802</t>
  </si>
  <si>
    <t>PROGRIDE</t>
  </si>
  <si>
    <t>D.04.07.03.02.12</t>
  </si>
  <si>
    <t>F*</t>
  </si>
  <si>
    <t>Juros e outros encargos</t>
  </si>
  <si>
    <t>DA112002</t>
  </si>
  <si>
    <t>DA112003</t>
  </si>
  <si>
    <t>DA112004</t>
  </si>
  <si>
    <t>DA211001</t>
  </si>
  <si>
    <t>DA211003</t>
  </si>
  <si>
    <t>Complemento de Doença</t>
  </si>
  <si>
    <t>Complemento Maternidade</t>
  </si>
  <si>
    <t>Subsistema de Solidariedade</t>
  </si>
  <si>
    <t>Rendimento Social de Inserção</t>
  </si>
  <si>
    <t>Estado - Gab.Gest.Financeira da Educação</t>
  </si>
  <si>
    <t>Casa Pia Lisboa</t>
  </si>
  <si>
    <t>D.04.03.05.01.04</t>
  </si>
  <si>
    <t>RA113004</t>
  </si>
  <si>
    <t>RA123002</t>
  </si>
  <si>
    <t>RA123001</t>
  </si>
  <si>
    <t>Locação de Edifícios</t>
  </si>
  <si>
    <t>D.02.02.10</t>
  </si>
  <si>
    <t>Ano 2008</t>
  </si>
  <si>
    <t>Económica</t>
  </si>
  <si>
    <t>a inscrever</t>
  </si>
  <si>
    <t>D.04.08.03.11</t>
  </si>
  <si>
    <t>D111014</t>
  </si>
  <si>
    <t>D.04.08.03.10.01</t>
  </si>
  <si>
    <t>Acordos Cooperação - Orçamento Corrente - Anexo 9</t>
  </si>
  <si>
    <t>D211004</t>
  </si>
  <si>
    <t>PIDDAC-OE - POSI - Clique Solidário</t>
  </si>
  <si>
    <t>TRANSFERÊNCIAS de CAPITAL</t>
  </si>
  <si>
    <t>Transferências para a Administração Central - Estado</t>
  </si>
  <si>
    <t>Min. Saúde - Cuidados de saúde - CSI</t>
  </si>
  <si>
    <t>R.06.03.02.03</t>
  </si>
  <si>
    <t>R.06.03.02.02</t>
  </si>
  <si>
    <t>RA211010</t>
  </si>
  <si>
    <t>R.06.03.09.01.03</t>
  </si>
  <si>
    <t>RA221004 (Anexo 8)</t>
  </si>
  <si>
    <t xml:space="preserve"> II. Capital</t>
  </si>
  <si>
    <t>Outras receitas correntes - Outras</t>
  </si>
  <si>
    <t>QCA III - POSI</t>
  </si>
  <si>
    <t>II.Capital</t>
  </si>
  <si>
    <t>Despesas de Capital</t>
  </si>
  <si>
    <t>D.04.05</t>
  </si>
  <si>
    <t>D.04.07</t>
  </si>
  <si>
    <t>D.04.08</t>
  </si>
  <si>
    <t>D.06.02</t>
  </si>
  <si>
    <t>Divida do FAC</t>
  </si>
  <si>
    <t>Transf. para o exterior - INTERREG</t>
  </si>
  <si>
    <t>D.04.08.03.01.03</t>
  </si>
  <si>
    <t>D.04.08.03.01.02</t>
  </si>
  <si>
    <t>D.04.08.03.01.11</t>
  </si>
  <si>
    <t>D.04.08.03.01.15</t>
  </si>
  <si>
    <t>D.04.08.03.01.05</t>
  </si>
  <si>
    <t>D.04.08.03.01.06</t>
  </si>
  <si>
    <t>D04.08.03.01.07</t>
  </si>
  <si>
    <t>Subsídio de desemprego/provisório/majoração</t>
  </si>
  <si>
    <t>D.04.08.09.01.11</t>
  </si>
  <si>
    <t>Juros soc. não finan. - Públicas</t>
  </si>
  <si>
    <t xml:space="preserve">   Quotizações para Capitalização</t>
  </si>
  <si>
    <t>R113005</t>
  </si>
  <si>
    <t>D.04.03</t>
  </si>
  <si>
    <t>D.04.09</t>
  </si>
  <si>
    <t>D.04.08.03.06.04</t>
  </si>
  <si>
    <t>Subsídio Vitalício</t>
  </si>
  <si>
    <t>D.04.08.03.06.05</t>
  </si>
  <si>
    <t>Fundo de Socorro Social - alinea c)</t>
  </si>
  <si>
    <t>Programa de Apoio Integrado a Idosos (PAII) - alinea g)</t>
  </si>
  <si>
    <t>Programa Ser Criança - alinea f)</t>
  </si>
  <si>
    <t>Programa de Apoio à Família e à Criança (PAFAC) - alinea i)</t>
  </si>
  <si>
    <t>PIDDAC - OE - P17 - Equipamentos e Serviços Sociais</t>
  </si>
  <si>
    <t>R.07.01.01</t>
  </si>
  <si>
    <t xml:space="preserve">Material escritório </t>
  </si>
  <si>
    <t>R.07.01.02</t>
  </si>
  <si>
    <t xml:space="preserve">Livros doc.técnica  </t>
  </si>
  <si>
    <t>Programa de Desenvolvimento Social (QCA III)</t>
  </si>
  <si>
    <t>PIDDAC - OSS - Investimentos</t>
  </si>
  <si>
    <t>D.07.01.02</t>
  </si>
  <si>
    <t>Habitações</t>
  </si>
  <si>
    <t>Equip. Informáticos</t>
  </si>
  <si>
    <t>Soft. Informático</t>
  </si>
  <si>
    <t>Equip. Adm.</t>
  </si>
  <si>
    <t xml:space="preserve">      Prog. Desenvolvimento Social (QCAIII)</t>
  </si>
  <si>
    <t xml:space="preserve">Complementos sociais &lt; pensão social </t>
  </si>
  <si>
    <t>D.04.08.04.01.17</t>
  </si>
  <si>
    <t>Ajudas sociais pecun. hemofilicos</t>
  </si>
  <si>
    <t>D.04.08.04.01.18</t>
  </si>
  <si>
    <t>Ap.s.i.car.comunidades portuguesas</t>
  </si>
  <si>
    <t>Subsidios a Instituições sem fins lucrativos</t>
  </si>
  <si>
    <t>Regime de Solidariedade - RTRurais</t>
  </si>
  <si>
    <t>D.04.08.03.02.01</t>
  </si>
  <si>
    <t>D.04.08.03.02.02</t>
  </si>
  <si>
    <t>D.04.08.03.02.03</t>
  </si>
  <si>
    <t>R.07.02.07</t>
  </si>
  <si>
    <t xml:space="preserve">Alimentação e aloj. </t>
  </si>
  <si>
    <t xml:space="preserve">Serv.soc.recr.cult. </t>
  </si>
  <si>
    <t>R.07.02.09</t>
  </si>
  <si>
    <t xml:space="preserve">Serv.especif.autarq </t>
  </si>
  <si>
    <t>Compart.Acção Social</t>
  </si>
  <si>
    <t xml:space="preserve">Outros Proveitos    </t>
  </si>
  <si>
    <t>D.06.02.03</t>
  </si>
  <si>
    <t>Outras receitas de capital - Alienação de Imoveis</t>
  </si>
  <si>
    <t>Outras receitas de capital - Outras Receitas</t>
  </si>
  <si>
    <t>Transferências p/ Subsídio de Renda</t>
  </si>
  <si>
    <t>MAOTDR-subsídio de renda (RAU)</t>
  </si>
  <si>
    <t>R.06.03.12.02</t>
  </si>
  <si>
    <t>Instituto Nacional Habitação - subsídio de renda (NRAU)</t>
  </si>
  <si>
    <t>R111002</t>
  </si>
  <si>
    <t xml:space="preserve"> Orçamento da Segurança Social - 2006</t>
  </si>
  <si>
    <t>Outras despesas de capital</t>
  </si>
  <si>
    <t>TOTAL</t>
  </si>
  <si>
    <t>Plano de Emergência Social</t>
  </si>
  <si>
    <t>Subsídio de renda</t>
  </si>
  <si>
    <t>Transferências correntes para o INATEL</t>
  </si>
  <si>
    <t>Apoio Judiciário</t>
  </si>
  <si>
    <t>Coimas e penalidades por contra ordenações</t>
  </si>
  <si>
    <t>R.04.02.99</t>
  </si>
  <si>
    <t>Multas e penalidades diversas</t>
  </si>
  <si>
    <t>R.07.01.03</t>
  </si>
  <si>
    <t>Publicações e Impresos</t>
  </si>
  <si>
    <t>R.07.01.08.01</t>
  </si>
  <si>
    <t>Protecção familiar - Regime Geral</t>
  </si>
  <si>
    <t>D.04.08.05.01.01</t>
  </si>
  <si>
    <t>D.04.08.03.07.02</t>
  </si>
  <si>
    <t>D.04.08.03.07.03</t>
  </si>
  <si>
    <t>D.04.08.03.07.04</t>
  </si>
  <si>
    <t>D.04.08.03.07.05</t>
  </si>
  <si>
    <t>D.04.08.03.07.06</t>
  </si>
  <si>
    <t>D.04.08.03.07.07</t>
  </si>
  <si>
    <t>D.04.08.03.07.08</t>
  </si>
  <si>
    <t>D.04.08.03.07.09</t>
  </si>
  <si>
    <t>D.04.08.03.07.10</t>
  </si>
  <si>
    <t>D111012</t>
  </si>
  <si>
    <t>Protecção Familiar - RESSAAggricolas</t>
  </si>
  <si>
    <t>D.04.08.03.08.01</t>
  </si>
  <si>
    <t>D.04.08.03.08.02</t>
  </si>
  <si>
    <t>P/ Emprego, Higiene e Formação Profissional</t>
  </si>
  <si>
    <t>D.04.08.03.04.02</t>
  </si>
  <si>
    <t>Rendimentos - AFP/QREN</t>
  </si>
  <si>
    <t>Administração</t>
  </si>
  <si>
    <t>Encargos gerais (FEFSS)</t>
  </si>
  <si>
    <t>Edifícios - IGFCSS</t>
  </si>
  <si>
    <t>Financiamento Tripartido</t>
  </si>
  <si>
    <t>D.07.01.03</t>
  </si>
  <si>
    <t>Edifícios</t>
  </si>
  <si>
    <t>Transfª Adm. Local</t>
  </si>
  <si>
    <t>Transfª Inst. Sem fins luc</t>
  </si>
  <si>
    <t>Transferências de Saldos de gerência</t>
  </si>
  <si>
    <t>RA211006</t>
  </si>
  <si>
    <t>POEFDS - Medida 5.6 - Programa de Desenvolvimento Social (QCA III)</t>
  </si>
  <si>
    <r>
      <t>AS2602</t>
    </r>
    <r>
      <rPr>
        <b/>
        <sz val="9"/>
        <color indexed="12"/>
        <rFont val="Arial"/>
        <family val="2"/>
      </rPr>
      <t xml:space="preserve"> (Anexo 11)</t>
    </r>
  </si>
  <si>
    <r>
      <t xml:space="preserve">AS2102 </t>
    </r>
    <r>
      <rPr>
        <b/>
        <sz val="9"/>
        <color indexed="12"/>
        <rFont val="Arial"/>
        <family val="2"/>
      </rPr>
      <t>(Anexo 9)</t>
    </r>
  </si>
  <si>
    <t>D.04.07.03.02.02</t>
  </si>
  <si>
    <t>(a) - Apartir 2006 incluirá os complementos sociais &lt; e &gt; que a pensão social</t>
  </si>
  <si>
    <t>(b) - Inclui as pensões dos desalojados das ex-colónias (Cx Benguela) e o suplemento social de equiparação</t>
  </si>
  <si>
    <t>Subsídio vitalício</t>
  </si>
  <si>
    <t>Sub.assist.terceira pessoa-a adultos</t>
  </si>
  <si>
    <t>Comp. Remuneratório dos Aduaneiros</t>
  </si>
  <si>
    <t>Restituição de cont. e outras receitas</t>
  </si>
  <si>
    <t>Administração e outras despesas comuns</t>
  </si>
  <si>
    <t xml:space="preserve">      Intervenç Desconcentradas/Reg,(QCAIII)</t>
  </si>
  <si>
    <t xml:space="preserve">   Do FEDER</t>
  </si>
  <si>
    <t xml:space="preserve">      Sobrevivência</t>
  </si>
  <si>
    <t>Juros compensatórios - Juros vincendos</t>
  </si>
  <si>
    <t>Prog. de Apoio a fam. e a criança - PAFAC - Anexo 13</t>
  </si>
  <si>
    <t>Prog. de Apoio a fam. e a criança</t>
  </si>
  <si>
    <t xml:space="preserve">SUB-TOTAL </t>
  </si>
  <si>
    <t>TOTAL RECEITA</t>
  </si>
  <si>
    <t>DESPESAS</t>
  </si>
  <si>
    <t>DESPESAS CORRENTES</t>
  </si>
  <si>
    <t>DESPESAS DE CAPITAL</t>
  </si>
  <si>
    <t>Activos Financeiros - IGFCSS</t>
  </si>
  <si>
    <t>TRANSFERÊNCIAS CORRENTES</t>
  </si>
  <si>
    <t>Sistema Previdencial - Repartição</t>
  </si>
  <si>
    <t>Saldo do ano anterior com aplicação em despesa</t>
  </si>
  <si>
    <t>D.08.04.02</t>
  </si>
  <si>
    <t>R.06.07.01.02</t>
  </si>
  <si>
    <t>Transf. Inst. s/ fins lucrativos - outras</t>
  </si>
  <si>
    <t>R.06.09.01.01</t>
  </si>
  <si>
    <t>Administração central - Estado - IGFSE</t>
  </si>
  <si>
    <t>D.05.</t>
  </si>
  <si>
    <t>D.05.08.01.01</t>
  </si>
  <si>
    <t>Outras Prestações</t>
  </si>
  <si>
    <t>Activos financeiros</t>
  </si>
  <si>
    <t xml:space="preserve">      POSI - Clique Solidário</t>
  </si>
  <si>
    <t>Inst. sem fins lucrativos - Acção Social</t>
  </si>
  <si>
    <t>DA123002</t>
  </si>
  <si>
    <t>R.08.01</t>
  </si>
  <si>
    <t>Total Receitas Correntes</t>
  </si>
  <si>
    <t>R.10.03</t>
  </si>
  <si>
    <t>R.10.09</t>
  </si>
  <si>
    <t>R.11</t>
  </si>
  <si>
    <t>R.12.05</t>
  </si>
  <si>
    <t>R.13</t>
  </si>
  <si>
    <t>Total de Receitas de Capital</t>
  </si>
  <si>
    <t>R.15.01</t>
  </si>
  <si>
    <t>R.16.01</t>
  </si>
  <si>
    <t>Contribuições e cotizações</t>
  </si>
  <si>
    <t>DA221002</t>
  </si>
  <si>
    <t>Saldo do Ano Anterior</t>
  </si>
  <si>
    <t>D.07.01.09</t>
  </si>
  <si>
    <t>Equipamento administrativo</t>
  </si>
  <si>
    <t>D.07.01.10</t>
  </si>
  <si>
    <t>Transferências correntes do OE</t>
  </si>
  <si>
    <t>P/ financiamento do QREN</t>
  </si>
  <si>
    <t>Restituição de Cont. e de outras receitas</t>
  </si>
  <si>
    <t>Outros juros compensatórios</t>
  </si>
  <si>
    <t>R.06.09.03.02</t>
  </si>
  <si>
    <t>PEPS-Comp. custos de manut. dos postos de trab.</t>
  </si>
  <si>
    <t>Transferências do Exterior - INTERREG</t>
  </si>
  <si>
    <t>R.04.02</t>
  </si>
  <si>
    <t>R.05.01</t>
  </si>
  <si>
    <t>R.05.02</t>
  </si>
  <si>
    <t>R.05.03</t>
  </si>
  <si>
    <t>R.05.04</t>
  </si>
  <si>
    <t>R.05.05</t>
  </si>
  <si>
    <t>R.05.06</t>
  </si>
  <si>
    <t>Receita Total do Subs.Acção Social  (2a) = (3) + (4a) + ( (1a1) + (1a2) ) = Saldo ano anterior ajustado + rec. própria + transf. internas obtidas</t>
  </si>
  <si>
    <t>Restantes Subtotais do Subsistema de Acção Social</t>
  </si>
  <si>
    <t>SUBTOTAIS DO SISTEMA DE PROTECÇÃO SOCIAL DE CIDADANIA</t>
  </si>
  <si>
    <t>Receita Total do Sistema de Protecção Social de Cidadania (2a) =(3) + (4a) + ( (1a1) + (1a2) + (1a3) ) =Saldo do ano anterior ajustado + receita própria +  transferências internas obtidas</t>
  </si>
  <si>
    <t>Saldo Orçamental Sistema de Protecção Social de Cidadania na óptica da contabilidade pública</t>
  </si>
  <si>
    <t xml:space="preserve">Receita própria (4a) =(I) + (II) =Receita Total  - saldo inicial - transferências internas obtidas </t>
  </si>
  <si>
    <t xml:space="preserve">Outros programas  </t>
  </si>
  <si>
    <t>D.04.08.04.01.01</t>
  </si>
  <si>
    <t>Administração central - SFA's - FSE</t>
  </si>
  <si>
    <t>D.05.04.02.03</t>
  </si>
  <si>
    <t xml:space="preserve">      Transferências do Min. Defesa Nacional ( Artº 39 DL 118/04 )</t>
  </si>
  <si>
    <t>Dividendos e participações nos lucros de sociedades financeiras</t>
  </si>
  <si>
    <t>R.05.10.01</t>
  </si>
  <si>
    <t>Encargos gerais</t>
  </si>
  <si>
    <t>Encargos com cooperação externa</t>
  </si>
  <si>
    <t>Despesas de capital</t>
  </si>
  <si>
    <t>PIDDAC</t>
  </si>
  <si>
    <t>Estado-Sistema de Acção Social - SNRIPD</t>
  </si>
  <si>
    <t>RA's - FSS</t>
  </si>
  <si>
    <t>D.08.07.02</t>
  </si>
  <si>
    <t>D.04.07.03.02.04</t>
  </si>
  <si>
    <t>Transf. correntes da Adm. Central - Estado</t>
  </si>
  <si>
    <t>R.06.03.03</t>
  </si>
  <si>
    <t>R.06.03.08.02</t>
  </si>
  <si>
    <t>R211002</t>
  </si>
  <si>
    <t>R.06.07.01.01.01</t>
  </si>
  <si>
    <t>R.06.07.01.01.02</t>
  </si>
  <si>
    <t>R.06.07.01.01.09</t>
  </si>
  <si>
    <t>R.06.07.01.01.06</t>
  </si>
  <si>
    <t>R.06.07.01.01.03</t>
  </si>
  <si>
    <t>RA111001</t>
  </si>
  <si>
    <t>Transferências correntes do MTSSS</t>
  </si>
  <si>
    <t>Transferências correntes - Outros</t>
  </si>
  <si>
    <t>Transferência do MTSS</t>
  </si>
  <si>
    <t>RA112002</t>
  </si>
  <si>
    <t>Protecção Familiar associada ao Subsistema de Solidariedade</t>
  </si>
  <si>
    <t xml:space="preserve">SFA - INATEL - Turismo Sénior </t>
  </si>
  <si>
    <t>D.04.03.05.01.03</t>
  </si>
  <si>
    <t>D.04.08.06.02.04</t>
  </si>
  <si>
    <t>Do OSS</t>
  </si>
  <si>
    <t>Subsídio social de desemprego/provisório/majoração</t>
  </si>
  <si>
    <t>Cobertura de despesas ISS na Acção Social - alinea b)</t>
  </si>
  <si>
    <t>R.03.02.01.99</t>
  </si>
  <si>
    <t>R.06.03.02.99</t>
  </si>
  <si>
    <t>R.06.07.01.01.10</t>
  </si>
  <si>
    <t>S.amas f.ac.-Familias Acolhimento</t>
  </si>
  <si>
    <t>Outras - part. portuguesa</t>
  </si>
  <si>
    <t>D.08.07.04.09</t>
  </si>
  <si>
    <t>Encargos administrativos - NRAU</t>
  </si>
  <si>
    <t>Programa Voluntariado</t>
  </si>
  <si>
    <t>INTERREG capital</t>
  </si>
  <si>
    <t xml:space="preserve">      Encargos gerais (IGFCSS)</t>
  </si>
  <si>
    <t>Subsistema previdencial</t>
  </si>
  <si>
    <t>RUBRICAS</t>
  </si>
  <si>
    <t>Subsídio por doença</t>
  </si>
  <si>
    <t>Subsídio por tuberculose</t>
  </si>
  <si>
    <t>Juros da linha de crédito - QREN</t>
  </si>
  <si>
    <t>Subsistema de Acção Social</t>
  </si>
  <si>
    <t>R.07.01.99</t>
  </si>
  <si>
    <t>Outros produtos</t>
  </si>
  <si>
    <t>R.07.02.01</t>
  </si>
  <si>
    <t>Aluguer de espaços e equipamentos</t>
  </si>
  <si>
    <t>R.07.02.02</t>
  </si>
  <si>
    <t>Estudos, pareceres, projectos e consultadoria</t>
  </si>
  <si>
    <t>R.07.02.08</t>
  </si>
  <si>
    <t>Serviços sociais, recreativos, culturais e desporto</t>
  </si>
  <si>
    <t>R.07.02.99.01</t>
  </si>
  <si>
    <t>Rendimentos - Fundo de Socorro Social</t>
  </si>
  <si>
    <t>D.04.08.03.03.04</t>
  </si>
  <si>
    <t>D111007</t>
  </si>
  <si>
    <r>
      <t xml:space="preserve">F* </t>
    </r>
    <r>
      <rPr>
        <b/>
        <sz val="9"/>
        <color indexed="12"/>
        <rFont val="Arial"/>
        <family val="2"/>
      </rPr>
      <t>(Anexo 3)</t>
    </r>
  </si>
  <si>
    <t>consolidado</t>
  </si>
  <si>
    <t>Programas sociais / restantes programas - alinea a), e) e Euromilhões</t>
  </si>
  <si>
    <t>Min.FAP- DGT</t>
  </si>
  <si>
    <t>Financiamento Bipartido - Regime de Repartição</t>
  </si>
  <si>
    <t>Subsídio educação especial</t>
  </si>
  <si>
    <t>Subsídio por assistência de terceira pessoa (jovens)</t>
  </si>
  <si>
    <t>Instituto de Emprego e Formação Profissional</t>
  </si>
  <si>
    <t>resto do mundo</t>
  </si>
  <si>
    <t>Com suporte na CPN</t>
  </si>
  <si>
    <t>D.05.01.04.02</t>
  </si>
  <si>
    <t>Soc. e quase soc. não financeiras - OSS</t>
  </si>
  <si>
    <t>Administração central - Estado - OSS</t>
  </si>
  <si>
    <t>D.04.08.03.06.02</t>
  </si>
  <si>
    <t>Projectos de Apoio à Família e à Criança (PAFAC) - alinea i)</t>
  </si>
  <si>
    <t>Políticas Activas de Emp. e Form. Prof.</t>
  </si>
  <si>
    <t xml:space="preserve">Instituto de Emprego e Formação Profissional </t>
  </si>
  <si>
    <t>R.06.03.09.02</t>
  </si>
  <si>
    <t>Instituto para a Qualificação da Formação</t>
  </si>
  <si>
    <t>R.06.03.09.03</t>
  </si>
  <si>
    <t>Instituto para a Saúde, Higiene e Segurança no Trabalho/IGT</t>
  </si>
  <si>
    <t>R.06.03.09.04.02</t>
  </si>
  <si>
    <t>Saldo orçamental óptica cont. pública</t>
  </si>
  <si>
    <t>Doença (artº 39 do DL 118/2004)</t>
  </si>
  <si>
    <t>R.06.03.11.01</t>
  </si>
  <si>
    <t>Transferências SFA - IEFP</t>
  </si>
  <si>
    <t>R.06.03.11.03</t>
  </si>
  <si>
    <t>Transferências SFA - Outras</t>
  </si>
  <si>
    <t>R.06.03.05.02</t>
  </si>
  <si>
    <t>Transferências ACE - projectos cofinanciados - POSI (PCM)</t>
  </si>
  <si>
    <t>R.06.03.06</t>
  </si>
  <si>
    <t>OSS</t>
  </si>
  <si>
    <t>(2)</t>
  </si>
  <si>
    <t>(3)</t>
  </si>
  <si>
    <t>(1)</t>
  </si>
  <si>
    <t>RÚBRICAS</t>
  </si>
  <si>
    <t>R.05.10</t>
  </si>
  <si>
    <t>R.06.03</t>
  </si>
  <si>
    <t>QREN</t>
  </si>
  <si>
    <t>Transfª do Min. Saúde p/ Cuidados de saúde - CSI</t>
  </si>
  <si>
    <t>Sistema de Protecção Social de Cidadania</t>
  </si>
  <si>
    <t>Equip. Básico</t>
  </si>
  <si>
    <t>Outros Investimentos</t>
  </si>
  <si>
    <t>DA221001 (Anexo 8)</t>
  </si>
  <si>
    <t>Outras receitas correntes - outras</t>
  </si>
  <si>
    <t>Transferências Capital ACE</t>
  </si>
  <si>
    <t>Transferências correntes - Interreg</t>
  </si>
  <si>
    <t>R.06.04.02</t>
  </si>
  <si>
    <t>D.04.08.03.06.08</t>
  </si>
  <si>
    <t>D.04.08.03.06.09</t>
  </si>
  <si>
    <t>D111011</t>
  </si>
  <si>
    <t>Subsídio vitalício e complemento extraordinário vitalicio</t>
  </si>
  <si>
    <t>Transferência de Serviços e Fundos Autónomos -IEFP - POC's</t>
  </si>
  <si>
    <t>D.07.01.08</t>
  </si>
  <si>
    <t>Software informático</t>
  </si>
  <si>
    <t>D.07.01.15</t>
  </si>
  <si>
    <t>Outros investimentos</t>
  </si>
  <si>
    <t>Instituto de Gestão do Fundo Social  Europeu - Outras receitas</t>
  </si>
  <si>
    <t>R112008</t>
  </si>
  <si>
    <t>Ac.acolh.apoio domiciliário</t>
  </si>
  <si>
    <t>D.04.08.04.01.15</t>
  </si>
  <si>
    <t>Subs. utilização lares fins lucrativos</t>
  </si>
  <si>
    <t>D.04.08.04.01.19</t>
  </si>
  <si>
    <t xml:space="preserve">PEPS - apoio freq. de equip. sociais         </t>
  </si>
  <si>
    <t>D.04.08.04.01.99</t>
  </si>
  <si>
    <t>Receitas Correntes</t>
  </si>
  <si>
    <t>Receitas de Capital</t>
  </si>
  <si>
    <t>Outras Receitas</t>
  </si>
  <si>
    <t>Protecção Familiar</t>
  </si>
  <si>
    <t>Com suporte no Fundo Social Europeu</t>
  </si>
  <si>
    <t>Com suporte no OSS</t>
  </si>
  <si>
    <t>D.04.08.05.01.03</t>
  </si>
  <si>
    <t>D.04.08.05.01.04</t>
  </si>
  <si>
    <t>D.04.08.06.02.05</t>
  </si>
  <si>
    <t>Subsidio eventual de emergência</t>
  </si>
  <si>
    <t>D.04.08.03.06.03</t>
  </si>
  <si>
    <t>Instituto de Emprego e formação profissional</t>
  </si>
  <si>
    <t>D.04.03.07.02</t>
  </si>
  <si>
    <t>D.04.03.07.03</t>
  </si>
  <si>
    <t>D.05.03.04.02</t>
  </si>
  <si>
    <t>Administração central - SFA's - OSS</t>
  </si>
  <si>
    <t>D.05.04.02.02</t>
  </si>
  <si>
    <t>R.04.02.01.01</t>
  </si>
  <si>
    <t>Juros mora - Contribuições</t>
  </si>
  <si>
    <t>Saldo do Subsistema de Solidariedade sem aplicação em despesa - outros (1b1)</t>
  </si>
  <si>
    <t>Saldo do Subsistema de Solidariedade - FAC (1b2)</t>
  </si>
  <si>
    <t>Transfª p/ Subsistema Protecção Familiar (2b1)</t>
  </si>
  <si>
    <t>Transfª p/ Subsistema  Acção Social (2b3)</t>
  </si>
  <si>
    <t>Outras receitas capital - Outras</t>
  </si>
  <si>
    <t>Outras receitas de capital - activos financeiros</t>
  </si>
  <si>
    <t>R.11.01.02</t>
  </si>
  <si>
    <t>Activos Financeiros-Sociedades  Financeiras</t>
  </si>
  <si>
    <t>TOTAL ORÇAMENTO RECEITA</t>
  </si>
  <si>
    <r>
      <t xml:space="preserve">AF* </t>
    </r>
    <r>
      <rPr>
        <b/>
        <sz val="9"/>
        <color indexed="12"/>
        <rFont val="Times New Roman"/>
        <family val="1"/>
      </rPr>
      <t>(Anexo 3)</t>
    </r>
  </si>
  <si>
    <t>Rendimentos - PAII</t>
  </si>
  <si>
    <t>Complemento Remuneratório Aduaneiros</t>
  </si>
  <si>
    <t xml:space="preserve">Alug.espaços equip. </t>
  </si>
  <si>
    <t>Est.parec.proj.cons.</t>
  </si>
  <si>
    <t>R.07.02.03</t>
  </si>
  <si>
    <t>TOTAL DO ORÇAMENTO DE DESPESA</t>
  </si>
  <si>
    <t>TOTAL DO ORÇAMENTO DE RECEITA</t>
  </si>
  <si>
    <t>Transferências correntes do MTSS  - CPN</t>
  </si>
  <si>
    <t>Direcção-Geral do Emprego e das Relações de Trabalho</t>
  </si>
  <si>
    <t>Notas:</t>
  </si>
  <si>
    <t>Equipamento informático</t>
  </si>
  <si>
    <t>Restituição de Contribuições e outras receitas</t>
  </si>
  <si>
    <t>Subsidio de inserção de jovens na vida activa</t>
  </si>
  <si>
    <t>Subsidio de funeral</t>
  </si>
  <si>
    <t>D.05.08.02</t>
  </si>
  <si>
    <t>D.05.08.03</t>
  </si>
  <si>
    <t>Regime Especial de Seg. Soc. dos Ferroviários</t>
  </si>
  <si>
    <t>Subsidios a Familias</t>
  </si>
  <si>
    <t>Transfª Capital inst. Sem fins luc.</t>
  </si>
  <si>
    <t>Empréstimos obtidos</t>
  </si>
  <si>
    <t>DA211004</t>
  </si>
  <si>
    <t>Outros Activos Financeiros</t>
  </si>
  <si>
    <t>Outras Entidades:</t>
  </si>
  <si>
    <t>D.04.08.09.01.12</t>
  </si>
  <si>
    <t>Equivalência Actuarial</t>
  </si>
  <si>
    <t>D.04.08.09.01.14</t>
  </si>
  <si>
    <t>Transfª MTSS (Lei de Bases da SS - Lei 4/2007)</t>
  </si>
  <si>
    <t>Transfª p/ Subsistema Solidariedade (2b1)</t>
  </si>
  <si>
    <t>Transfª p/ Sistema Previdencial - Capitalização (2b2)</t>
  </si>
  <si>
    <t>Total (5b)=(1b1) + (1b2) + (1b3) + (2b1+2b2) + (3b) =Desp. própria + transf. internas concedidas + saldo final global</t>
  </si>
  <si>
    <t>Prog. Com. de Ajuda Alimentar a Carenciados (PCAAC)</t>
  </si>
  <si>
    <t>D.02.02.04</t>
  </si>
  <si>
    <t>Subsistema de protecção famíliar e políticas activas de emprego e formação profissional</t>
  </si>
  <si>
    <t>Saldo do ano anterior</t>
  </si>
  <si>
    <t xml:space="preserve">   Protecção Familiar</t>
  </si>
  <si>
    <t xml:space="preserve">           Intervenções Desconcentradas (QCA III)</t>
  </si>
  <si>
    <t>Soc. e quase soc. não financeiras - FSE</t>
  </si>
  <si>
    <t>D.05.03.02.03</t>
  </si>
  <si>
    <t>Administração central - Estado - FSE</t>
  </si>
  <si>
    <t>D.05.03.04.03</t>
  </si>
  <si>
    <t>Complemento Solidário para Idosos</t>
  </si>
  <si>
    <t>Administração regional - RAM - FSE</t>
  </si>
  <si>
    <t>D.04.09.01</t>
  </si>
  <si>
    <t>Saldo do Sistema - AFP/CPN + QREN/CPN (1b3)</t>
  </si>
  <si>
    <t>D221001</t>
  </si>
  <si>
    <t>D.09.05.13</t>
  </si>
  <si>
    <t>Familias - Outras</t>
  </si>
  <si>
    <t>Rendas - Habitações</t>
  </si>
  <si>
    <t>Acordos Cooperação - Orçamento Programa</t>
  </si>
  <si>
    <t>DESPESAS EFECTIVAS</t>
  </si>
  <si>
    <t>Prev.Exec.</t>
  </si>
  <si>
    <t>Pré-escolar - componente educativa da rede das IPSS</t>
  </si>
  <si>
    <t>Transferências da SCML - Dep. de Jogos</t>
  </si>
  <si>
    <t>1001-8888</t>
  </si>
  <si>
    <t>Mapa Subsistema</t>
  </si>
  <si>
    <t>Transferência OE</t>
  </si>
  <si>
    <t>Transf. Resto do Mundo</t>
  </si>
  <si>
    <t>PIDDAC - OE - POSI</t>
  </si>
  <si>
    <t>A .xxxxxx</t>
  </si>
  <si>
    <t>Transferências do exterior - Interreg</t>
  </si>
  <si>
    <t>PIDDAC - OE</t>
  </si>
  <si>
    <t xml:space="preserve">Outras              </t>
  </si>
  <si>
    <t>Tranfª corrent. - RAAçores - FSS</t>
  </si>
  <si>
    <t>Tranfª corrent. - RAMadeira - FSS</t>
  </si>
  <si>
    <t>PIDDAC - OE - POSI - QCAIII</t>
  </si>
  <si>
    <t>Outras receitas - Acções Formação FSE</t>
  </si>
  <si>
    <t>Transferências internas para o Sistema Previdencial (2b)</t>
  </si>
  <si>
    <t>SALDO ORÇAMENTAL ÓPTICA CONTABILIDADE NACIONAL</t>
  </si>
  <si>
    <t>D.04.08.04.01.11</t>
  </si>
  <si>
    <r>
      <t xml:space="preserve">AS1102 </t>
    </r>
    <r>
      <rPr>
        <b/>
        <sz val="9"/>
        <color indexed="12"/>
        <rFont val="Arial"/>
        <family val="2"/>
      </rPr>
      <t>(Anexo 13)</t>
    </r>
  </si>
  <si>
    <r>
      <t>AS1202</t>
    </r>
    <r>
      <rPr>
        <b/>
        <sz val="9"/>
        <color indexed="12"/>
        <rFont val="Arial"/>
        <family val="2"/>
      </rPr>
      <t xml:space="preserve"> (Anexo 14)</t>
    </r>
  </si>
  <si>
    <r>
      <t xml:space="preserve">AS1302 </t>
    </r>
    <r>
      <rPr>
        <b/>
        <sz val="9"/>
        <color indexed="12"/>
        <rFont val="Arial"/>
        <family val="2"/>
      </rPr>
      <t>(Anexo 15)</t>
    </r>
  </si>
  <si>
    <t>Transfª corrente p/ a administração central / exterior</t>
  </si>
  <si>
    <t xml:space="preserve">Outros Bens Investimento-Adm.Pub-Adm.Loc-Cont </t>
  </si>
  <si>
    <t>R.09.04.07</t>
  </si>
  <si>
    <t xml:space="preserve"> II.Transferências de Capital</t>
  </si>
  <si>
    <t>D.08.03.06.01.01</t>
  </si>
  <si>
    <t>D.04.08.05.02.01</t>
  </si>
  <si>
    <t>Const. Diversas</t>
  </si>
  <si>
    <t xml:space="preserve">      Transferências do Min. Defesa Nacional (dívida de 2004 a 2006)</t>
  </si>
  <si>
    <t>Activos Financeiros -Empréstimos M/L Prazo - Famílias</t>
  </si>
  <si>
    <t>R122001</t>
  </si>
  <si>
    <t>R.12.05.02.03</t>
  </si>
  <si>
    <t xml:space="preserve">   Transferências de SFA (POAP-IIES)</t>
  </si>
  <si>
    <t>R.11.06.10</t>
  </si>
  <si>
    <t>Instituto para a Saúde Higiene e Segurança no Trabalho</t>
  </si>
  <si>
    <t>Saldo na óptica da Contabilidade Nacional</t>
  </si>
  <si>
    <t xml:space="preserve">Instituição: </t>
  </si>
  <si>
    <t>2060E</t>
  </si>
  <si>
    <t>Em €URO</t>
  </si>
  <si>
    <t>Orçamento Inicial</t>
  </si>
  <si>
    <t xml:space="preserve">  Projectos não co-financiados (OE)</t>
  </si>
  <si>
    <t xml:space="preserve">           Intervenções Desconcentradas/Regionais (QCA III)</t>
  </si>
  <si>
    <t xml:space="preserve">           Outros programas</t>
  </si>
  <si>
    <t>Programa Ser Criança</t>
  </si>
  <si>
    <t xml:space="preserve">   Outras Receitas - Acções Formação OSS</t>
  </si>
  <si>
    <t xml:space="preserve">       Reposições não abatidas nos pagamentos</t>
  </si>
  <si>
    <t xml:space="preserve">  Rendimentos AFP/FSE</t>
  </si>
  <si>
    <t xml:space="preserve">     Rendimentos AFP/FSE</t>
  </si>
  <si>
    <t>R.04.01.17</t>
  </si>
  <si>
    <t xml:space="preserve"> I.Despesas Correntes</t>
  </si>
  <si>
    <t>D.04.07.03.01.03</t>
  </si>
  <si>
    <t>R.09.04.05</t>
  </si>
  <si>
    <t>Subsídio por assistência de terceira pessoa (adultos)</t>
  </si>
  <si>
    <t>Saldo de gerência anterior</t>
  </si>
  <si>
    <t>Total do Subsistema de Solidariedade</t>
  </si>
  <si>
    <t>Administração - subsidio de renda</t>
  </si>
  <si>
    <t>Administração regional - RAA - FSE</t>
  </si>
  <si>
    <t>D.05.04.04.03</t>
  </si>
  <si>
    <t>Sistema Previdencial</t>
  </si>
  <si>
    <t>PAIES</t>
  </si>
  <si>
    <t>Pxxxxxx</t>
  </si>
  <si>
    <t>Inst. sem fins luc. -Actividades de amas</t>
  </si>
  <si>
    <t xml:space="preserve">Inst. sem fins luc. - ATL                 </t>
  </si>
  <si>
    <t xml:space="preserve">Inst. sem fins luc. - toxicodependentes   </t>
  </si>
  <si>
    <t xml:space="preserve">Inst. sem fins luc. - desalojados   </t>
  </si>
  <si>
    <t>OE - Intervenções Desconcentradas/Regionais (QCA III)</t>
  </si>
  <si>
    <t>PAII</t>
  </si>
  <si>
    <t>Transf. UE - INTERREG capital</t>
  </si>
  <si>
    <t>PIDDAC - OSS</t>
  </si>
  <si>
    <t>POSI - QCAIII</t>
  </si>
  <si>
    <t>Variação</t>
  </si>
  <si>
    <t>Transferências correntes / privadas</t>
  </si>
  <si>
    <t>Outras receitas correntes (inclui Administração)</t>
  </si>
  <si>
    <t>RA211009+RA311003*</t>
  </si>
  <si>
    <t>Para financiamento dos QCA e anteriores quadros</t>
  </si>
  <si>
    <t>QCA e anteriores quadros comunitários</t>
  </si>
  <si>
    <t>(d) - Em 2005 e 2006, inclui as pensões dos regimes especiais e a parcela de pensão de aposentação (Dec. Lei 278/82) e as pensões por doença profissional</t>
  </si>
  <si>
    <t>RECEITAS</t>
  </si>
  <si>
    <t>Juros - Resto do Mundo</t>
  </si>
  <si>
    <t>Soc. fin. - B. o. i. finan.</t>
  </si>
  <si>
    <t>Rendimentos - AFP/FSE</t>
  </si>
  <si>
    <t>Encargos administrativos com NRAU</t>
  </si>
  <si>
    <t>DGT - Desalojados das ex-colónias</t>
  </si>
  <si>
    <t>Transferência do MFAP</t>
  </si>
  <si>
    <t>RECEITAS EFECTIVAS</t>
  </si>
  <si>
    <t>DA111001</t>
  </si>
  <si>
    <t>DA111006</t>
  </si>
  <si>
    <t>DA111007</t>
  </si>
  <si>
    <t>DA111008</t>
  </si>
  <si>
    <t>DA111009</t>
  </si>
  <si>
    <t>DA111010</t>
  </si>
  <si>
    <t>Capitalização</t>
  </si>
  <si>
    <t xml:space="preserve">Acções for. prof.- Saldos de projectos </t>
  </si>
  <si>
    <t>Juros da linha de crédito - QCAIII</t>
  </si>
  <si>
    <t>AS2102</t>
  </si>
  <si>
    <t>(6)</t>
  </si>
  <si>
    <t>Acções de formação profissional</t>
  </si>
  <si>
    <t>Transferências correntes</t>
  </si>
  <si>
    <t>Outras receitas - Fundo Garantia Salarial</t>
  </si>
  <si>
    <t>D.04.07.03.99.01</t>
  </si>
  <si>
    <t>D.04.07.03.99.02</t>
  </si>
  <si>
    <t>D.04.07.03.99.03</t>
  </si>
  <si>
    <t>D.04.07.03.99.04</t>
  </si>
  <si>
    <t>D.04.08.04.01.20</t>
  </si>
  <si>
    <t>Emergência - Calamidades</t>
  </si>
  <si>
    <t>DA113002</t>
  </si>
  <si>
    <t>DA113003</t>
  </si>
  <si>
    <t>DA113004 (Anexo 10)</t>
  </si>
  <si>
    <t>DA113005</t>
  </si>
  <si>
    <t>DA113006</t>
  </si>
  <si>
    <t>DA113007</t>
  </si>
  <si>
    <t>Acordos Cooperação - Orçamento Corrente</t>
  </si>
  <si>
    <t>Funcionamento Estabelecimento Integrados</t>
  </si>
  <si>
    <t>CALB</t>
  </si>
  <si>
    <t>Acção Social - Transferências</t>
  </si>
  <si>
    <t>Programa Escolhas</t>
  </si>
  <si>
    <t>D.04.07.03.02.07</t>
  </si>
  <si>
    <t>Agregado</t>
  </si>
  <si>
    <t xml:space="preserve">Fundos / </t>
  </si>
  <si>
    <t>ORÇAMENTO</t>
  </si>
  <si>
    <t>Classificação</t>
  </si>
  <si>
    <t>Ano 2007</t>
  </si>
  <si>
    <t>Transf. P/ Inst. S/ fins Lucrativos - Outros</t>
  </si>
  <si>
    <t>SALDO DO ANO ANTERIOR</t>
  </si>
  <si>
    <t>D.04.08.07.02.03</t>
  </si>
  <si>
    <t>D.04.08.05.03.01</t>
  </si>
  <si>
    <t>D.04.08.05.03.02</t>
  </si>
  <si>
    <t>D.04.08.06.03.01</t>
  </si>
  <si>
    <t>D.04.08.06.03.02</t>
  </si>
  <si>
    <t>D.04.08.03.01.09</t>
  </si>
  <si>
    <t>D.04.08.03.01.10</t>
  </si>
  <si>
    <t>Acordos Cooperação - Orçamento Programa - Anexo 9</t>
  </si>
  <si>
    <t>D211003</t>
  </si>
  <si>
    <t xml:space="preserve">Outros Bens Investimento-Adm.Pub-Adm.Regional </t>
  </si>
  <si>
    <t>R.09.04.06</t>
  </si>
  <si>
    <t>D.04.09.02</t>
  </si>
  <si>
    <t>Resto do Mundo - UE - Países Membros</t>
  </si>
  <si>
    <t>Outras desp. correntes</t>
  </si>
  <si>
    <t>Pxxx</t>
  </si>
  <si>
    <t>D.04.07.03.04</t>
  </si>
  <si>
    <t>R111003</t>
  </si>
  <si>
    <t>Transfª. Min. Finanças - DGT</t>
  </si>
  <si>
    <t>R.06.03.01.02</t>
  </si>
  <si>
    <t xml:space="preserve">   Transferências de SFA (POAT-IIES)</t>
  </si>
  <si>
    <t>R.10.03.10</t>
  </si>
  <si>
    <t>Transferências SFA - part. Comunitária</t>
  </si>
  <si>
    <t>Cla's - Autarquias - Continente</t>
  </si>
  <si>
    <t>D.04.05.02.01</t>
  </si>
  <si>
    <t>Cla's - Autarquias - RAA</t>
  </si>
  <si>
    <t>D.04.05.03.01</t>
  </si>
  <si>
    <t>Progride</t>
  </si>
  <si>
    <t>AS1902</t>
  </si>
  <si>
    <t>RA211004+RA311001</t>
  </si>
  <si>
    <t>Reservas Marconi</t>
  </si>
  <si>
    <t>RAA Açores</t>
  </si>
  <si>
    <t>RAM Madeira</t>
  </si>
  <si>
    <t xml:space="preserve">Programa Ser Criança </t>
  </si>
  <si>
    <t>AS1002</t>
  </si>
  <si>
    <t>R.07.02.06</t>
  </si>
  <si>
    <t xml:space="preserve">Reparações          </t>
  </si>
  <si>
    <t>Compensação salarial</t>
  </si>
  <si>
    <t>Transferências correntes do exterior</t>
  </si>
  <si>
    <t>Garantia salarial</t>
  </si>
  <si>
    <t>Para Acções de formação profissional c/suporte no FSE</t>
  </si>
  <si>
    <t>D.04.08.03.04.03</t>
  </si>
  <si>
    <t>D.04.08.03.04.04</t>
  </si>
  <si>
    <t>D111008</t>
  </si>
  <si>
    <t>Outras receitas - Fundo de Socorro Social</t>
  </si>
  <si>
    <t>Do OE</t>
  </si>
  <si>
    <t>Pensões - desalojados das ex-colónias</t>
  </si>
  <si>
    <t>R.15.01.01</t>
  </si>
  <si>
    <t>sem capitalização</t>
  </si>
  <si>
    <t>Transf.ª Capital p/ Inst. sem fins lucrativos</t>
  </si>
  <si>
    <t>R123001</t>
  </si>
  <si>
    <t>Encargos Familiares</t>
  </si>
  <si>
    <t>Rendimentos - Fundo Garantia Salarial</t>
  </si>
  <si>
    <t>Subsídio de funeral</t>
  </si>
  <si>
    <t>D.04.03.02.01</t>
  </si>
  <si>
    <t>Administração - AFP/FSE - QCAIII e OQC</t>
  </si>
  <si>
    <t>Administração - AFP/FSE - QREN</t>
  </si>
  <si>
    <t>Administração - AFP/CPN - QREN</t>
  </si>
  <si>
    <r>
      <t xml:space="preserve">Complementos sociais de pensões &gt; pensão social </t>
    </r>
    <r>
      <rPr>
        <b/>
        <sz val="12"/>
        <rFont val="Arial"/>
        <family val="2"/>
      </rPr>
      <t>(c)</t>
    </r>
  </si>
  <si>
    <t>D.04.08.05.01.05</t>
  </si>
  <si>
    <t>Ajudas de custo</t>
  </si>
  <si>
    <t>Material de escritório</t>
  </si>
  <si>
    <t>Outras despesas correntes</t>
  </si>
  <si>
    <t>D.04.07.03.02.16</t>
  </si>
  <si>
    <t>Proposta de Orçamento</t>
  </si>
  <si>
    <t>4= (2-1)/1</t>
  </si>
  <si>
    <t>5= (3-1)/1</t>
  </si>
  <si>
    <t>6= (3-2)/2</t>
  </si>
  <si>
    <t>FUNDO</t>
  </si>
  <si>
    <t>D111001</t>
  </si>
  <si>
    <t>D.04.05.01.04</t>
  </si>
  <si>
    <t xml:space="preserve">       Invalidez</t>
  </si>
  <si>
    <t xml:space="preserve">      Velhice</t>
  </si>
  <si>
    <t>Outras despesas de capital - Activos Financeiros</t>
  </si>
  <si>
    <t>Para financiamento do QREN</t>
  </si>
  <si>
    <t>Outras receitas - Acções Formação CPN</t>
  </si>
  <si>
    <t>Com suporte no CPN</t>
  </si>
  <si>
    <t>R.05.01.01</t>
  </si>
  <si>
    <t>D.04.08.06.03.03</t>
  </si>
  <si>
    <t>D.04.08.06.03.04</t>
  </si>
  <si>
    <t>D.04.08.06.03.05</t>
  </si>
  <si>
    <t>D.04.08.07.03.01</t>
  </si>
  <si>
    <t>AS0402</t>
  </si>
  <si>
    <t>Programa de Apoio Iniciativa privada social - PAIPS</t>
  </si>
  <si>
    <t>Programa de Apoio Iniciativa privada social</t>
  </si>
  <si>
    <t>Fundos / Classificação económica</t>
  </si>
  <si>
    <t xml:space="preserve">Rendas - Outros </t>
  </si>
  <si>
    <t>R113006</t>
  </si>
  <si>
    <t>RA211004</t>
  </si>
  <si>
    <t>R311001</t>
  </si>
  <si>
    <t>RA311001</t>
  </si>
  <si>
    <t>Outras receitas - Proj. Formação das ISS's</t>
  </si>
  <si>
    <t>D.05.08.03.01</t>
  </si>
  <si>
    <t>DA121001</t>
  </si>
  <si>
    <t>DA112001</t>
  </si>
  <si>
    <t>DA111002</t>
  </si>
  <si>
    <t>DA111013</t>
  </si>
  <si>
    <t>D.04.03.01.06</t>
  </si>
  <si>
    <t>D.04.03.01.04</t>
  </si>
  <si>
    <t>D.05.01.04.03</t>
  </si>
  <si>
    <t>R.04.01.09</t>
  </si>
  <si>
    <t>D.01</t>
  </si>
  <si>
    <t>D.02</t>
  </si>
  <si>
    <t>D.03</t>
  </si>
  <si>
    <r>
      <t>PIDDAC-OSS</t>
    </r>
    <r>
      <rPr>
        <sz val="9"/>
        <rFont val="Times New Roman"/>
        <family val="1"/>
      </rPr>
      <t xml:space="preserve"> - Apoio à tomada de decisão</t>
    </r>
  </si>
  <si>
    <r>
      <t>PIDDAC - OE</t>
    </r>
    <r>
      <rPr>
        <sz val="9"/>
        <rFont val="Times New Roman"/>
        <family val="1"/>
      </rPr>
      <t xml:space="preserve"> - POSI - Clique solidário</t>
    </r>
  </si>
  <si>
    <t>Quotizações</t>
  </si>
  <si>
    <t>Políticas Activas de Emp. e Formação Prof.</t>
  </si>
  <si>
    <t xml:space="preserve">   Políticas Activas de Emprego e Formação Profissional</t>
  </si>
  <si>
    <t>D.04.08.08.01.01</t>
  </si>
  <si>
    <t>Prém. Tx. Gar. Ris. Dif. C.</t>
  </si>
  <si>
    <t>R.09.04.01</t>
  </si>
  <si>
    <t>D.05.07.02.01</t>
  </si>
  <si>
    <t xml:space="preserve">C/suporte no FSS    </t>
  </si>
  <si>
    <t>D.05.07.02.02</t>
  </si>
  <si>
    <t>D.04.03.06.01</t>
  </si>
  <si>
    <t>Gab.Gest.Financeira da Educação</t>
  </si>
  <si>
    <t>D.04.07.03.03.01</t>
  </si>
  <si>
    <t>D.10.05.03.03</t>
  </si>
  <si>
    <t>D.04.07.03.02.15</t>
  </si>
  <si>
    <t>AS2702</t>
  </si>
  <si>
    <t>D.02.02.17</t>
  </si>
  <si>
    <t>Publicidade</t>
  </si>
  <si>
    <t>D.04.01.02</t>
  </si>
  <si>
    <t>Total</t>
  </si>
  <si>
    <t>Restituição de Contribuições e de outras receitas</t>
  </si>
  <si>
    <t xml:space="preserve">Vistorias ensaios   </t>
  </si>
  <si>
    <t>R.07.02.04</t>
  </si>
  <si>
    <t xml:space="preserve">Serv.laboratório    </t>
  </si>
  <si>
    <t>R.07.02.05</t>
  </si>
  <si>
    <t xml:space="preserve">Actividades Saúde   </t>
  </si>
  <si>
    <t>Diferença</t>
  </si>
  <si>
    <t>Complemento Extraordinário Solidariedade</t>
  </si>
  <si>
    <t>Regime Transitório dos Rurais</t>
  </si>
  <si>
    <t>R.04.02.04</t>
  </si>
  <si>
    <t>Transferências do OE para cumprimento da LBSS</t>
  </si>
  <si>
    <t>Ac.a.des.out-Refugiados</t>
  </si>
  <si>
    <t>D.05.03.02.01</t>
  </si>
  <si>
    <t xml:space="preserve">Public. e impressos </t>
  </si>
  <si>
    <t>R.07.01.04</t>
  </si>
  <si>
    <t>Fardam.artigos pess.</t>
  </si>
  <si>
    <t>R.07.01.05</t>
  </si>
  <si>
    <t xml:space="preserve">Bens inutilizados   </t>
  </si>
  <si>
    <t>R.07.01.06</t>
  </si>
  <si>
    <t xml:space="preserve">Prod.agric pec.     </t>
  </si>
  <si>
    <t>D.04.08.07.03.02</t>
  </si>
  <si>
    <t>D.04.08.07.03.03</t>
  </si>
  <si>
    <t>D.04.08.05.04.01</t>
  </si>
  <si>
    <t>D.04.08.07.04.01</t>
  </si>
  <si>
    <t>D.04.08.07.04.02</t>
  </si>
  <si>
    <t>D.04.08.07.04.03</t>
  </si>
  <si>
    <t>DA113001</t>
  </si>
  <si>
    <t>Subsídio de renda (RAU)</t>
  </si>
  <si>
    <t>Empréstimos concedidos - FSS</t>
  </si>
  <si>
    <t xml:space="preserve">      Linhas de Crédito</t>
  </si>
  <si>
    <t>R311003.RP</t>
  </si>
  <si>
    <t>RA311003.RAP</t>
  </si>
  <si>
    <t>R112004</t>
  </si>
  <si>
    <t>Dividendos e part. nos lucros de soc. e quase soc. não fin.</t>
  </si>
  <si>
    <t>Sub.assist.terceira pessoa-crianças e jovens</t>
  </si>
  <si>
    <t>Encargos c/doenças prof. e outras prestações</t>
  </si>
  <si>
    <t>RA311003</t>
  </si>
  <si>
    <t>D.04.03.02</t>
  </si>
  <si>
    <t xml:space="preserve">Outros programas - Turismo Sénior </t>
  </si>
  <si>
    <t>D211008</t>
  </si>
  <si>
    <t>AF*</t>
  </si>
  <si>
    <t>Projectos sociais cofinanciados pelo FSE - Anexo 3</t>
  </si>
  <si>
    <t>Saldo Ano anterior</t>
  </si>
  <si>
    <t>R.03.01</t>
  </si>
  <si>
    <t>R.03.02</t>
  </si>
  <si>
    <t>R.04.01</t>
  </si>
  <si>
    <t>D.04.08.06.01.05</t>
  </si>
  <si>
    <t>D.04.08.07.01.01</t>
  </si>
  <si>
    <t>D.04.08.07.01.02</t>
  </si>
  <si>
    <t>D.04.08.07.01.03</t>
  </si>
  <si>
    <t>D112002</t>
  </si>
  <si>
    <t>PIDDAC - OSS - Prom. Sist. suporte à decisão e gestão</t>
  </si>
  <si>
    <t>Projectos co-financiados</t>
  </si>
  <si>
    <t>D.08.07.03.01</t>
  </si>
  <si>
    <t>R.09.04.03</t>
  </si>
  <si>
    <t xml:space="preserve">Outros Bens Investimento -Adm.Pub-Adm.Cen-Est  </t>
  </si>
  <si>
    <t>R221001</t>
  </si>
  <si>
    <t>R.11.06.09</t>
  </si>
  <si>
    <t>R221002</t>
  </si>
  <si>
    <t>R.13.01.99</t>
  </si>
  <si>
    <t>Transfª p/ Subsidio de Renda</t>
  </si>
  <si>
    <t>Transferências de capital</t>
  </si>
  <si>
    <t xml:space="preserve">      Formação Profissional - F.S.E.</t>
  </si>
  <si>
    <t xml:space="preserve">      INTERREG</t>
  </si>
  <si>
    <t xml:space="preserve">P.I.D.D.A.C. </t>
  </si>
  <si>
    <t xml:space="preserve">   Do OE</t>
  </si>
  <si>
    <t xml:space="preserve">Prestação alimentação menores    </t>
  </si>
  <si>
    <t>Protecção Familiar - Reg. não Contributivo</t>
  </si>
  <si>
    <t>D.04.08.03.06.01</t>
  </si>
  <si>
    <t>Abono de família e  13.º mês</t>
  </si>
  <si>
    <t>Intervenções Desconcentradas (QCA III)</t>
  </si>
  <si>
    <t>Caixa Abono Familia Empregados Bancários</t>
  </si>
  <si>
    <t>D.04.08.03.10.02</t>
  </si>
  <si>
    <t>POAP (inclui Adm. do POAP)</t>
  </si>
  <si>
    <t>Estruturas Emp. Form. Prof. - RA's</t>
  </si>
  <si>
    <t>Prog. Coop. Q. Seg. Rede Social - Anexo 19</t>
  </si>
  <si>
    <t>Interreg Corrente</t>
  </si>
  <si>
    <t xml:space="preserve">        PIDDAC</t>
  </si>
  <si>
    <t xml:space="preserve">           Programa de Desenvolvimento Social (QCA III)</t>
  </si>
  <si>
    <t>MINISTÉRIO DO TRABALHO E DA SOLIDARIEDADE SOCIAL</t>
  </si>
  <si>
    <t>R.04.02.02.99</t>
  </si>
  <si>
    <t>Juros compensatórios - Outros</t>
  </si>
  <si>
    <t>R211001</t>
  </si>
  <si>
    <t>(c) - Em 2006 não incluir qualquer valor, esta rubrica passa a estar incluida no Subsistema de solidariedade - alinea a)</t>
  </si>
  <si>
    <t>FOLHA DE CONTROLO - RECEITA (somatório por Instituição)</t>
  </si>
  <si>
    <t>Sub. Solidariedade</t>
  </si>
  <si>
    <t>Sub. Acção Social</t>
  </si>
  <si>
    <t>Contribuições</t>
  </si>
  <si>
    <t>DAISS</t>
  </si>
  <si>
    <t>CNPRP</t>
  </si>
  <si>
    <t>IGFSS</t>
  </si>
  <si>
    <t>Sub-Total</t>
  </si>
  <si>
    <t>Transferências</t>
  </si>
  <si>
    <t>FOLHA DE CONTROLO - DESPESA (somatório por Instituição)</t>
  </si>
  <si>
    <t>Sub. Protecção Familiar</t>
  </si>
  <si>
    <t>Rede de cuidados continuados</t>
  </si>
  <si>
    <t>Estado - SNRIPD</t>
  </si>
  <si>
    <t>D.04.03.05.01.02</t>
  </si>
  <si>
    <t>Total do desdobramento do saldo do ano anterior ajustado(3) = (4)+(5)</t>
  </si>
  <si>
    <t>Transferência do Subsistema Protecção Familiar (1a1)</t>
  </si>
  <si>
    <t>Transferência do Subsistema Acção Social (1a2)</t>
  </si>
  <si>
    <t>Transferência do Subsistema da Solidariedade (1a1)</t>
  </si>
  <si>
    <t>Transferência do Subsistema da Acção Social (1a2)</t>
  </si>
  <si>
    <t>Transferência do Subsistema Protecção Familiar (1a2)</t>
  </si>
  <si>
    <t>Transferência do Subsistema Solidariedade (1a1)</t>
  </si>
  <si>
    <t>Restantes Subtotais do Subsistema de Solidariedade</t>
  </si>
  <si>
    <t xml:space="preserve">Receita própria (4a) =(I) + (II) = Receita Total  - saldo inicial - transferências internas obtidas </t>
  </si>
  <si>
    <t xml:space="preserve">Sub-total do Subsistema (5a) = (2a) - (3)  = Receita Total  - saldo inicial total   </t>
  </si>
  <si>
    <t>Juros soc. Finan. - Bancos e outras instituições financeiras</t>
  </si>
  <si>
    <t>Plano Emergência - Calamidades - Incêndios</t>
  </si>
  <si>
    <t>RA221002</t>
  </si>
  <si>
    <t>Lei 2092 + Empréstimos obtidos</t>
  </si>
  <si>
    <t>RA212001</t>
  </si>
  <si>
    <t>RA212002</t>
  </si>
  <si>
    <t>RA212003</t>
  </si>
  <si>
    <t>RA222001</t>
  </si>
  <si>
    <t>RA113001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</si>
</sst>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sc.&quot;_-;\-* #,##0\ &quot;Esc.&quot;_-;_-* &quot;-&quot;\ &quot;Esc.&quot;_-;_-@_-"/>
    <numFmt numFmtId="165" formatCode="_-* #,##0\ _E_s_c_._-;\-* #,##0\ _E_s_c_._-;_-* &quot;-&quot;\ _E_s_c_._-;_-@_-"/>
    <numFmt numFmtId="166" formatCode="_-* #,##0.00\ &quot;Esc.&quot;_-;\-* #,##0.00\ &quot;Esc.&quot;_-;_-* &quot;-&quot;??\ &quot;Esc.&quot;_-;_-@_-"/>
    <numFmt numFmtId="167" formatCode="_-* #,##0.00\ _E_s_c_._-;\-* #,##0.00\ _E_s_c_._-;_-* &quot;-&quot;??\ _E_s_c_._-;_-@_-"/>
    <numFmt numFmtId="168" formatCode="#,##0.0"/>
    <numFmt numFmtId="169" formatCode="0.0%"/>
    <numFmt numFmtId="170" formatCode="#,##0.000"/>
    <numFmt numFmtId="171" formatCode="#,##0.0000"/>
    <numFmt numFmtId="172" formatCode="#,##0.00000"/>
    <numFmt numFmtId="173" formatCode="#,##0.0,"/>
    <numFmt numFmtId="174" formatCode="0.000%"/>
    <numFmt numFmtId="175" formatCode="_-* #,##0.00\ [$€-1]_-;\-* #,##0.00\ [$€-1]_-;_-* &quot;-&quot;??\ [$€-1]_-"/>
    <numFmt numFmtId="176" formatCode="#,##0.00_ ;[Red]\-#,##0.00\ "/>
    <numFmt numFmtId="177" formatCode="0.0"/>
    <numFmt numFmtId="178" formatCode="0.0000"/>
    <numFmt numFmtId="179" formatCode="#,##0.000000"/>
    <numFmt numFmtId="180" formatCode="#,###.0,,"/>
    <numFmt numFmtId="181" formatCode="#,###.00,,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&quot;Sim&quot;;&quot;Sim&quot;;&quot;Não&quot;"/>
    <numFmt numFmtId="191" formatCode="&quot;Verdadeiro&quot;;&quot;Verdadeiro&quot;;&quot;Falso&quot;"/>
    <numFmt numFmtId="192" formatCode="&quot;Activado&quot;;&quot;Activado&quot;;&quot;Desactivado&quot;"/>
    <numFmt numFmtId="193" formatCode="[$-816]dddd\,\ d&quot; de &quot;mmmm&quot; de &quot;yyyy"/>
    <numFmt numFmtId="194" formatCode="dd/mm/yyyy;@"/>
    <numFmt numFmtId="195" formatCode="[$-816]mmmmm;@"/>
    <numFmt numFmtId="196" formatCode="mm"/>
    <numFmt numFmtId="197" formatCode="#,##0.00\ &quot;€&quot;"/>
    <numFmt numFmtId="198" formatCode="#,##0\ &quot;Esc.&quot;;\-#,##0\ &quot;Esc.&quot;"/>
    <numFmt numFmtId="199" formatCode="#,##0\ &quot;Esc.&quot;;[Red]\-#,##0\ &quot;Esc.&quot;"/>
    <numFmt numFmtId="200" formatCode="#,##0.00\ &quot;Esc.&quot;;\-#,##0.00\ &quot;Esc.&quot;"/>
    <numFmt numFmtId="201" formatCode="#,##0.00\ &quot;Esc.&quot;;[Red]\-#,##0.00\ &quot;Esc.&quot;"/>
    <numFmt numFmtId="202" formatCode="0.0000%"/>
    <numFmt numFmtId="203" formatCode="#,##0.00_ ;\-#,##0.00\ "/>
    <numFmt numFmtId="204" formatCode="#,##0.00\ _€"/>
    <numFmt numFmtId="205" formatCode="0.0000000000"/>
    <numFmt numFmtId="206" formatCode="0.00000%"/>
  </numFmts>
  <fonts count="6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0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9"/>
      <name val="Times New Roman"/>
      <family val="1"/>
    </font>
    <font>
      <b/>
      <sz val="14"/>
      <color indexed="12"/>
      <name val="Times New Roman"/>
      <family val="1"/>
    </font>
    <font>
      <b/>
      <sz val="13"/>
      <name val="Arial"/>
      <family val="2"/>
    </font>
    <font>
      <sz val="6"/>
      <name val="Times New Roman"/>
      <family val="1"/>
    </font>
    <font>
      <b/>
      <sz val="16"/>
      <name val="Arial"/>
      <family val="2"/>
    </font>
    <font>
      <b/>
      <sz val="6"/>
      <name val="Times New Roman"/>
      <family val="1"/>
    </font>
    <font>
      <sz val="8"/>
      <name val="Arial"/>
      <family val="0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Times New Roman"/>
      <family val="1"/>
    </font>
    <font>
      <b/>
      <sz val="9"/>
      <color indexed="12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sz val="14"/>
      <name val="Calibri"/>
      <family val="2"/>
    </font>
    <font>
      <b/>
      <sz val="14"/>
      <name val="Futura Md BT"/>
      <family val="2"/>
    </font>
    <font>
      <sz val="14"/>
      <name val="Futura Bk BT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2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2" fillId="9" borderId="0" applyNumberFormat="0" applyBorder="0" applyAlignment="0" applyProtection="0"/>
    <xf numFmtId="0" fontId="42" fillId="12" borderId="0" applyNumberFormat="0" applyBorder="0" applyAlignment="0" applyProtection="0"/>
    <xf numFmtId="0" fontId="42" fillId="8" borderId="0" applyNumberFormat="0" applyBorder="0" applyAlignment="0" applyProtection="0"/>
    <xf numFmtId="0" fontId="42" fillId="13" borderId="0" applyNumberFormat="0" applyBorder="0" applyAlignment="0" applyProtection="0"/>
    <xf numFmtId="0" fontId="42" fillId="9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3" borderId="1" applyNumberFormat="0" applyAlignment="0" applyProtection="0"/>
    <xf numFmtId="0" fontId="45" fillId="11" borderId="2" applyNumberFormat="0" applyAlignment="0" applyProtection="0"/>
    <xf numFmtId="17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6" borderId="1" applyNumberFormat="0" applyAlignment="0" applyProtection="0"/>
    <xf numFmtId="0" fontId="52" fillId="0" borderId="5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16" borderId="0" applyNumberFormat="0" applyBorder="0" applyAlignment="0" applyProtection="0"/>
    <xf numFmtId="0" fontId="0" fillId="17" borderId="6" applyNumberFormat="0" applyFont="0" applyAlignment="0" applyProtection="0"/>
    <xf numFmtId="0" fontId="54" fillId="3" borderId="7" applyNumberFormat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8" applyNumberFormat="0" applyFill="0" applyAlignment="0" applyProtection="0"/>
    <xf numFmtId="167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951">
    <xf numFmtId="0" fontId="0" fillId="0" borderId="0" xfId="0" applyAlignment="1">
      <alignment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0" fontId="0" fillId="0" borderId="0" xfId="0" applyFill="1" applyAlignment="1">
      <alignment/>
    </xf>
    <xf numFmtId="0" fontId="6" fillId="0" borderId="12" xfId="0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Fill="1" applyBorder="1" applyAlignment="1" applyProtection="1">
      <alignment vertical="center"/>
      <protection/>
    </xf>
    <xf numFmtId="168" fontId="6" fillId="0" borderId="10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Fill="1" applyBorder="1" applyAlignment="1" applyProtection="1">
      <alignment horizontal="left" vertical="center"/>
      <protection/>
    </xf>
    <xf numFmtId="168" fontId="6" fillId="0" borderId="10" xfId="0" applyNumberFormat="1" applyFont="1" applyFill="1" applyBorder="1" applyAlignment="1" applyProtection="1">
      <alignment horizontal="left" vertical="center" indent="1"/>
      <protection/>
    </xf>
    <xf numFmtId="168" fontId="24" fillId="0" borderId="10" xfId="0" applyNumberFormat="1" applyFont="1" applyFill="1" applyBorder="1" applyAlignment="1" applyProtection="1">
      <alignment horizontal="left" vertical="center"/>
      <protection/>
    </xf>
    <xf numFmtId="168" fontId="24" fillId="0" borderId="10" xfId="0" applyNumberFormat="1" applyFont="1" applyFill="1" applyBorder="1" applyAlignment="1" applyProtection="1">
      <alignment horizontal="left" vertical="center" indent="2"/>
      <protection/>
    </xf>
    <xf numFmtId="168" fontId="24" fillId="0" borderId="10" xfId="0" applyNumberFormat="1" applyFont="1" applyFill="1" applyBorder="1" applyAlignment="1" applyProtection="1">
      <alignment vertical="center"/>
      <protection/>
    </xf>
    <xf numFmtId="4" fontId="12" fillId="0" borderId="13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14" fillId="0" borderId="13" xfId="0" applyNumberFormat="1" applyFont="1" applyFill="1" applyBorder="1" applyAlignment="1">
      <alignment/>
    </xf>
    <xf numFmtId="168" fontId="12" fillId="0" borderId="14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 vertical="center"/>
    </xf>
    <xf numFmtId="4" fontId="15" fillId="0" borderId="13" xfId="0" applyNumberFormat="1" applyFont="1" applyFill="1" applyBorder="1" applyAlignment="1">
      <alignment/>
    </xf>
    <xf numFmtId="4" fontId="14" fillId="0" borderId="16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4" fontId="14" fillId="0" borderId="17" xfId="0" applyNumberFormat="1" applyFont="1" applyFill="1" applyBorder="1" applyAlignment="1">
      <alignment/>
    </xf>
    <xf numFmtId="168" fontId="27" fillId="0" borderId="14" xfId="0" applyNumberFormat="1" applyFont="1" applyFill="1" applyBorder="1" applyAlignment="1">
      <alignment horizontal="right"/>
    </xf>
    <xf numFmtId="4" fontId="0" fillId="0" borderId="18" xfId="0" applyNumberForma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168" fontId="28" fillId="0" borderId="0" xfId="0" applyNumberFormat="1" applyFont="1" applyFill="1" applyBorder="1" applyAlignment="1" applyProtection="1" quotePrefix="1">
      <alignment horizontal="left"/>
      <protection/>
    </xf>
    <xf numFmtId="168" fontId="28" fillId="0" borderId="0" xfId="0" applyNumberFormat="1" applyFont="1" applyFill="1" applyBorder="1" applyAlignment="1" applyProtection="1">
      <alignment horizontal="left"/>
      <protection/>
    </xf>
    <xf numFmtId="168" fontId="6" fillId="0" borderId="19" xfId="0" applyNumberFormat="1" applyFont="1" applyFill="1" applyBorder="1" applyAlignment="1" applyProtection="1">
      <alignment vertical="center"/>
      <protection/>
    </xf>
    <xf numFmtId="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10" fontId="6" fillId="0" borderId="1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 vertical="center"/>
      <protection/>
    </xf>
    <xf numFmtId="1" fontId="29" fillId="16" borderId="2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4" fillId="0" borderId="0" xfId="0" applyNumberFormat="1" applyFont="1" applyFill="1" applyAlignment="1" applyProtection="1">
      <alignment horizontal="centerContinuous" vertical="center"/>
      <protection/>
    </xf>
    <xf numFmtId="168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168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1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Continuous" vertical="center"/>
      <protection/>
    </xf>
    <xf numFmtId="0" fontId="6" fillId="0" borderId="24" xfId="0" applyFont="1" applyFill="1" applyBorder="1" applyAlignment="1" applyProtection="1">
      <alignment horizontal="centerContinuous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 quotePrefix="1">
      <alignment horizontal="center" vertical="center"/>
      <protection/>
    </xf>
    <xf numFmtId="10" fontId="6" fillId="0" borderId="28" xfId="0" applyNumberFormat="1" applyFont="1" applyFill="1" applyBorder="1" applyAlignment="1" applyProtection="1">
      <alignment horizontal="center" vertical="center"/>
      <protection/>
    </xf>
    <xf numFmtId="168" fontId="6" fillId="0" borderId="25" xfId="0" applyNumberFormat="1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168" fontId="6" fillId="0" borderId="27" xfId="0" applyNumberFormat="1" applyFont="1" applyFill="1" applyBorder="1" applyAlignment="1" applyProtection="1">
      <alignment vertical="center"/>
      <protection/>
    </xf>
    <xf numFmtId="168" fontId="24" fillId="0" borderId="3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 locked="0"/>
    </xf>
    <xf numFmtId="10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6" fillId="0" borderId="24" xfId="0" applyNumberFormat="1" applyFont="1" applyFill="1" applyBorder="1" applyAlignment="1" applyProtection="1">
      <alignment vertical="center"/>
      <protection/>
    </xf>
    <xf numFmtId="0" fontId="24" fillId="0" borderId="19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left" vertical="center" indent="2"/>
      <protection/>
    </xf>
    <xf numFmtId="0" fontId="24" fillId="0" borderId="10" xfId="0" applyFont="1" applyFill="1" applyBorder="1" applyAlignment="1" applyProtection="1">
      <alignment vertical="center"/>
      <protection/>
    </xf>
    <xf numFmtId="168" fontId="6" fillId="0" borderId="19" xfId="0" applyNumberFormat="1" applyFont="1" applyFill="1" applyBorder="1" applyAlignment="1" applyProtection="1">
      <alignment horizontal="left" vertical="center" indent="1"/>
      <protection/>
    </xf>
    <xf numFmtId="168" fontId="6" fillId="0" borderId="24" xfId="0" applyNumberFormat="1" applyFont="1" applyFill="1" applyBorder="1" applyAlignment="1" applyProtection="1">
      <alignment horizontal="left" vertical="center" indent="1"/>
      <protection/>
    </xf>
    <xf numFmtId="168" fontId="24" fillId="0" borderId="19" xfId="0" applyNumberFormat="1" applyFont="1" applyFill="1" applyBorder="1" applyAlignment="1" applyProtection="1">
      <alignment horizontal="left" vertical="center"/>
      <protection/>
    </xf>
    <xf numFmtId="168" fontId="24" fillId="0" borderId="24" xfId="0" applyNumberFormat="1" applyFont="1" applyFill="1" applyBorder="1" applyAlignment="1" applyProtection="1">
      <alignment horizontal="left" vertical="center"/>
      <protection/>
    </xf>
    <xf numFmtId="168" fontId="24" fillId="0" borderId="10" xfId="0" applyNumberFormat="1" applyFont="1" applyFill="1" applyBorder="1" applyAlignment="1" applyProtection="1">
      <alignment horizontal="left" vertical="center" indent="3"/>
      <protection/>
    </xf>
    <xf numFmtId="168" fontId="24" fillId="0" borderId="19" xfId="0" applyNumberFormat="1" applyFont="1" applyFill="1" applyBorder="1" applyAlignment="1" applyProtection="1">
      <alignment horizontal="left" vertical="center" indent="2"/>
      <protection/>
    </xf>
    <xf numFmtId="168" fontId="24" fillId="0" borderId="24" xfId="0" applyNumberFormat="1" applyFont="1" applyFill="1" applyBorder="1" applyAlignment="1" applyProtection="1">
      <alignment horizontal="left" vertical="center" indent="2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24" fillId="0" borderId="31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24" fillId="0" borderId="33" xfId="0" applyFont="1" applyFill="1" applyBorder="1" applyAlignment="1" applyProtection="1">
      <alignment vertical="center"/>
      <protection/>
    </xf>
    <xf numFmtId="0" fontId="24" fillId="0" borderId="28" xfId="0" applyFont="1" applyFill="1" applyBorder="1" applyAlignment="1" applyProtection="1">
      <alignment vertical="center"/>
      <protection/>
    </xf>
    <xf numFmtId="4" fontId="0" fillId="0" borderId="28" xfId="0" applyNumberFormat="1" applyFont="1" applyFill="1" applyBorder="1" applyAlignment="1" applyProtection="1">
      <alignment vertical="center"/>
      <protection locked="0"/>
    </xf>
    <xf numFmtId="10" fontId="0" fillId="0" borderId="28" xfId="0" applyNumberFormat="1" applyFont="1" applyFill="1" applyBorder="1" applyAlignment="1" applyProtection="1">
      <alignment vertical="center"/>
      <protection/>
    </xf>
    <xf numFmtId="168" fontId="24" fillId="0" borderId="21" xfId="0" applyNumberFormat="1" applyFont="1" applyFill="1" applyBorder="1" applyAlignment="1" applyProtection="1">
      <alignment horizontal="left" vertical="center"/>
      <protection/>
    </xf>
    <xf numFmtId="168" fontId="24" fillId="0" borderId="23" xfId="0" applyNumberFormat="1" applyFont="1" applyFill="1" applyBorder="1" applyAlignment="1" applyProtection="1">
      <alignment horizontal="left" vertical="center"/>
      <protection/>
    </xf>
    <xf numFmtId="168" fontId="6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vertical="center"/>
      <protection locked="0"/>
    </xf>
    <xf numFmtId="10" fontId="0" fillId="0" borderId="9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 indent="1"/>
      <protection/>
    </xf>
    <xf numFmtId="0" fontId="4" fillId="0" borderId="0" xfId="0" applyFont="1" applyFill="1" applyBorder="1" applyAlignment="1" applyProtection="1">
      <alignment horizontal="left" vertical="center" indent="1"/>
      <protection/>
    </xf>
    <xf numFmtId="4" fontId="0" fillId="0" borderId="10" xfId="0" applyNumberFormat="1" applyFont="1" applyFill="1" applyBorder="1" applyAlignment="1" applyProtection="1">
      <alignment horizontal="left" vertical="center" indent="1"/>
      <protection locked="0"/>
    </xf>
    <xf numFmtId="10" fontId="0" fillId="0" borderId="1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Font="1" applyFill="1" applyAlignment="1" applyProtection="1">
      <alignment horizontal="left" vertical="center" indent="1"/>
      <protection/>
    </xf>
    <xf numFmtId="168" fontId="24" fillId="0" borderId="19" xfId="0" applyNumberFormat="1" applyFont="1" applyFill="1" applyBorder="1" applyAlignment="1" applyProtection="1">
      <alignment horizontal="left" vertical="center" indent="1"/>
      <protection/>
    </xf>
    <xf numFmtId="168" fontId="24" fillId="0" borderId="24" xfId="0" applyNumberFormat="1" applyFont="1" applyFill="1" applyBorder="1" applyAlignment="1" applyProtection="1">
      <alignment horizontal="left" vertical="center" indent="1"/>
      <protection/>
    </xf>
    <xf numFmtId="168" fontId="6" fillId="0" borderId="10" xfId="0" applyNumberFormat="1" applyFont="1" applyFill="1" applyBorder="1" applyAlignment="1" applyProtection="1">
      <alignment horizontal="left" vertical="center" indent="2"/>
      <protection/>
    </xf>
    <xf numFmtId="168" fontId="24" fillId="0" borderId="19" xfId="0" applyNumberFormat="1" applyFont="1" applyFill="1" applyBorder="1" applyAlignment="1" applyProtection="1">
      <alignment vertical="center"/>
      <protection/>
    </xf>
    <xf numFmtId="168" fontId="24" fillId="0" borderId="24" xfId="0" applyNumberFormat="1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/>
      <protection/>
    </xf>
    <xf numFmtId="3" fontId="24" fillId="0" borderId="10" xfId="0" applyNumberFormat="1" applyFont="1" applyFill="1" applyBorder="1" applyAlignment="1" applyProtection="1">
      <alignment horizontal="left" vertical="center" indent="4"/>
      <protection/>
    </xf>
    <xf numFmtId="168" fontId="24" fillId="0" borderId="10" xfId="0" applyNumberFormat="1" applyFont="1" applyFill="1" applyBorder="1" applyAlignment="1" applyProtection="1">
      <alignment horizontal="left" vertical="center" indent="4"/>
      <protection/>
    </xf>
    <xf numFmtId="168" fontId="6" fillId="0" borderId="10" xfId="0" applyNumberFormat="1" applyFont="1" applyFill="1" applyBorder="1" applyAlignment="1" applyProtection="1">
      <alignment horizontal="left" vertical="center" indent="3"/>
      <protection/>
    </xf>
    <xf numFmtId="168" fontId="24" fillId="0" borderId="10" xfId="0" applyNumberFormat="1" applyFont="1" applyFill="1" applyBorder="1" applyAlignment="1" applyProtection="1">
      <alignment horizontal="left" vertical="center" indent="5"/>
      <protection/>
    </xf>
    <xf numFmtId="168" fontId="6" fillId="0" borderId="24" xfId="0" applyNumberFormat="1" applyFont="1" applyFill="1" applyBorder="1" applyAlignment="1" applyProtection="1">
      <alignment horizontal="left" vertical="center"/>
      <protection/>
    </xf>
    <xf numFmtId="168" fontId="24" fillId="0" borderId="31" xfId="0" applyNumberFormat="1" applyFont="1" applyFill="1" applyBorder="1" applyAlignment="1" applyProtection="1">
      <alignment vertical="center"/>
      <protection/>
    </xf>
    <xf numFmtId="168" fontId="24" fillId="0" borderId="33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/>
      <protection/>
    </xf>
    <xf numFmtId="168" fontId="6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168" fontId="6" fillId="0" borderId="36" xfId="0" applyNumberFormat="1" applyFont="1" applyFill="1" applyBorder="1" applyAlignment="1" applyProtection="1">
      <alignment horizontal="center" vertical="center"/>
      <protection/>
    </xf>
    <xf numFmtId="168" fontId="6" fillId="0" borderId="20" xfId="0" applyNumberFormat="1" applyFont="1" applyFill="1" applyBorder="1" applyAlignment="1" applyProtection="1">
      <alignment horizontal="center" vertical="center"/>
      <protection/>
    </xf>
    <xf numFmtId="4" fontId="7" fillId="0" borderId="20" xfId="0" applyNumberFormat="1" applyFont="1" applyFill="1" applyBorder="1" applyAlignment="1" applyProtection="1">
      <alignment vertical="center"/>
      <protection/>
    </xf>
    <xf numFmtId="10" fontId="7" fillId="0" borderId="2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68" fontId="24" fillId="0" borderId="0" xfId="0" applyNumberFormat="1" applyFont="1" applyFill="1" applyBorder="1" applyAlignment="1" applyProtection="1">
      <alignment horizontal="centerContinuous" vertical="center"/>
      <protection/>
    </xf>
    <xf numFmtId="4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168" fontId="24" fillId="0" borderId="19" xfId="0" applyNumberFormat="1" applyFont="1" applyFill="1" applyBorder="1" applyAlignment="1" applyProtection="1">
      <alignment horizontal="left" vertical="center" indent="3"/>
      <protection/>
    </xf>
    <xf numFmtId="168" fontId="24" fillId="0" borderId="24" xfId="0" applyNumberFormat="1" applyFont="1" applyFill="1" applyBorder="1" applyAlignment="1" applyProtection="1">
      <alignment horizontal="left" vertical="center" indent="3"/>
      <protection/>
    </xf>
    <xf numFmtId="168" fontId="6" fillId="0" borderId="19" xfId="0" applyNumberFormat="1" applyFont="1" applyFill="1" applyBorder="1" applyAlignment="1" applyProtection="1">
      <alignment horizontal="left" vertical="center"/>
      <protection/>
    </xf>
    <xf numFmtId="168" fontId="6" fillId="0" borderId="19" xfId="0" applyNumberFormat="1" applyFont="1" applyFill="1" applyBorder="1" applyAlignment="1" applyProtection="1">
      <alignment horizontal="left" vertical="center" indent="2"/>
      <protection/>
    </xf>
    <xf numFmtId="168" fontId="6" fillId="0" borderId="24" xfId="0" applyNumberFormat="1" applyFont="1" applyFill="1" applyBorder="1" applyAlignment="1" applyProtection="1">
      <alignment horizontal="left" vertical="center" indent="2"/>
      <protection/>
    </xf>
    <xf numFmtId="0" fontId="8" fillId="0" borderId="3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vertical="center"/>
      <protection/>
    </xf>
    <xf numFmtId="10" fontId="5" fillId="0" borderId="0" xfId="0" applyNumberFormat="1" applyFont="1" applyFill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horizontal="centerContinuous" vertical="center"/>
      <protection/>
    </xf>
    <xf numFmtId="1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6" fillId="0" borderId="32" xfId="0" applyFont="1" applyFill="1" applyBorder="1" applyAlignment="1" applyProtection="1">
      <alignment horizontal="centerContinuous" vertical="center"/>
      <protection/>
    </xf>
    <xf numFmtId="10" fontId="5" fillId="0" borderId="0" xfId="0" applyNumberFormat="1" applyFont="1" applyFill="1" applyAlignment="1" applyProtection="1">
      <alignment horizontal="centerContinuous" vertical="center"/>
      <protection/>
    </xf>
    <xf numFmtId="168" fontId="30" fillId="0" borderId="0" xfId="0" applyNumberFormat="1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168" fontId="17" fillId="0" borderId="19" xfId="0" applyNumberFormat="1" applyFont="1" applyFill="1" applyBorder="1" applyAlignment="1" applyProtection="1">
      <alignment horizontal="left" vertical="center" indent="2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168" fontId="6" fillId="0" borderId="38" xfId="0" applyNumberFormat="1" applyFont="1" applyFill="1" applyBorder="1" applyAlignment="1" applyProtection="1">
      <alignment vertical="center"/>
      <protection/>
    </xf>
    <xf numFmtId="168" fontId="6" fillId="0" borderId="39" xfId="0" applyNumberFormat="1" applyFont="1" applyFill="1" applyBorder="1" applyAlignment="1" applyProtection="1">
      <alignment vertical="center"/>
      <protection/>
    </xf>
    <xf numFmtId="0" fontId="24" fillId="0" borderId="30" xfId="0" applyFont="1" applyFill="1" applyBorder="1" applyAlignment="1" applyProtection="1">
      <alignment horizontal="centerContinuous" vertical="center"/>
      <protection/>
    </xf>
    <xf numFmtId="168" fontId="6" fillId="0" borderId="19" xfId="0" applyNumberFormat="1" applyFont="1" applyFill="1" applyBorder="1" applyAlignment="1" applyProtection="1">
      <alignment horizontal="center" vertical="center"/>
      <protection/>
    </xf>
    <xf numFmtId="168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24" xfId="0" applyNumberFormat="1" applyFont="1" applyFill="1" applyBorder="1" applyAlignment="1" applyProtection="1">
      <alignment vertical="center"/>
      <protection/>
    </xf>
    <xf numFmtId="3" fontId="24" fillId="0" borderId="19" xfId="0" applyNumberFormat="1" applyFont="1" applyFill="1" applyBorder="1" applyAlignment="1" applyProtection="1">
      <alignment vertical="center"/>
      <protection/>
    </xf>
    <xf numFmtId="3" fontId="24" fillId="0" borderId="24" xfId="0" applyNumberFormat="1" applyFont="1" applyFill="1" applyBorder="1" applyAlignment="1" applyProtection="1">
      <alignment vertical="center"/>
      <protection/>
    </xf>
    <xf numFmtId="3" fontId="24" fillId="0" borderId="10" xfId="0" applyNumberFormat="1" applyFont="1" applyFill="1" applyBorder="1" applyAlignment="1" applyProtection="1">
      <alignment horizontal="left" vertical="center" indent="2"/>
      <protection/>
    </xf>
    <xf numFmtId="3" fontId="6" fillId="0" borderId="19" xfId="0" applyNumberFormat="1" applyFont="1" applyFill="1" applyBorder="1" applyAlignment="1" applyProtection="1">
      <alignment vertical="center"/>
      <protection/>
    </xf>
    <xf numFmtId="3" fontId="24" fillId="0" borderId="31" xfId="0" applyNumberFormat="1" applyFont="1" applyFill="1" applyBorder="1" applyAlignment="1" applyProtection="1">
      <alignment vertical="center"/>
      <protection/>
    </xf>
    <xf numFmtId="3" fontId="24" fillId="0" borderId="33" xfId="0" applyNumberFormat="1" applyFont="1" applyFill="1" applyBorder="1" applyAlignment="1" applyProtection="1">
      <alignment vertical="center"/>
      <protection/>
    </xf>
    <xf numFmtId="168" fontId="24" fillId="0" borderId="28" xfId="0" applyNumberFormat="1" applyFont="1" applyFill="1" applyBorder="1" applyAlignment="1" applyProtection="1">
      <alignment horizontal="left" vertical="center"/>
      <protection/>
    </xf>
    <xf numFmtId="3" fontId="6" fillId="0" borderId="21" xfId="0" applyNumberFormat="1" applyFont="1" applyFill="1" applyBorder="1" applyAlignment="1" applyProtection="1">
      <alignment vertical="center"/>
      <protection/>
    </xf>
    <xf numFmtId="3" fontId="6" fillId="0" borderId="23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horizontal="left" vertical="center" inden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68" fontId="24" fillId="0" borderId="0" xfId="0" applyNumberFormat="1" applyFont="1" applyFill="1" applyBorder="1" applyAlignment="1" applyProtection="1">
      <alignment horizontal="left" vertical="center"/>
      <protection/>
    </xf>
    <xf numFmtId="168" fontId="24" fillId="0" borderId="0" xfId="0" applyNumberFormat="1" applyFont="1" applyFill="1" applyBorder="1" applyAlignment="1" applyProtection="1">
      <alignment horizontal="left" vertical="center" indent="2"/>
      <protection/>
    </xf>
    <xf numFmtId="168" fontId="24" fillId="0" borderId="0" xfId="0" applyNumberFormat="1" applyFont="1" applyFill="1" applyBorder="1" applyAlignment="1" applyProtection="1">
      <alignment vertical="center"/>
      <protection/>
    </xf>
    <xf numFmtId="168" fontId="6" fillId="0" borderId="31" xfId="0" applyNumberFormat="1" applyFont="1" applyFill="1" applyBorder="1" applyAlignment="1" applyProtection="1">
      <alignment horizontal="center" vertical="center"/>
      <protection/>
    </xf>
    <xf numFmtId="168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8" fillId="0" borderId="32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 vertical="center"/>
      <protection/>
    </xf>
    <xf numFmtId="10" fontId="0" fillId="0" borderId="0" xfId="0" applyNumberFormat="1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4" fontId="0" fillId="4" borderId="1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40" xfId="0" applyNumberFormat="1" applyFont="1" applyFill="1" applyBorder="1" applyAlignment="1">
      <alignment/>
    </xf>
    <xf numFmtId="4" fontId="7" fillId="0" borderId="40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7" fillId="0" borderId="35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1" xfId="0" applyBorder="1" applyAlignment="1">
      <alignment/>
    </xf>
    <xf numFmtId="4" fontId="0" fillId="12" borderId="37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horizontal="center"/>
    </xf>
    <xf numFmtId="4" fontId="0" fillId="0" borderId="42" xfId="0" applyNumberFormat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0" fontId="0" fillId="0" borderId="40" xfId="0" applyFill="1" applyBorder="1" applyAlignment="1">
      <alignment/>
    </xf>
    <xf numFmtId="4" fontId="0" fillId="0" borderId="46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4" fontId="0" fillId="0" borderId="40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7" fillId="0" borderId="48" xfId="0" applyFont="1" applyFill="1" applyBorder="1" applyAlignment="1">
      <alignment horizontal="centerContinuous"/>
    </xf>
    <xf numFmtId="0" fontId="7" fillId="0" borderId="37" xfId="0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Continuous"/>
    </xf>
    <xf numFmtId="0" fontId="7" fillId="0" borderId="43" xfId="0" applyFont="1" applyFill="1" applyBorder="1" applyAlignment="1">
      <alignment horizontal="centerContinuous" vertical="top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/>
    </xf>
    <xf numFmtId="4" fontId="7" fillId="0" borderId="51" xfId="0" applyNumberFormat="1" applyFont="1" applyFill="1" applyBorder="1" applyAlignment="1">
      <alignment/>
    </xf>
    <xf numFmtId="4" fontId="7" fillId="0" borderId="52" xfId="0" applyNumberFormat="1" applyFont="1" applyFill="1" applyBorder="1" applyAlignment="1">
      <alignment/>
    </xf>
    <xf numFmtId="4" fontId="7" fillId="0" borderId="49" xfId="0" applyNumberFormat="1" applyFont="1" applyFill="1" applyBorder="1" applyAlignment="1">
      <alignment/>
    </xf>
    <xf numFmtId="0" fontId="0" fillId="0" borderId="41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4" fontId="7" fillId="0" borderId="46" xfId="0" applyNumberFormat="1" applyFont="1" applyFill="1" applyBorder="1" applyAlignment="1">
      <alignment/>
    </xf>
    <xf numFmtId="4" fontId="7" fillId="0" borderId="47" xfId="0" applyNumberFormat="1" applyFont="1" applyFill="1" applyBorder="1" applyAlignment="1">
      <alignment/>
    </xf>
    <xf numFmtId="4" fontId="7" fillId="0" borderId="44" xfId="0" applyNumberFormat="1" applyFont="1" applyFill="1" applyBorder="1" applyAlignment="1">
      <alignment/>
    </xf>
    <xf numFmtId="4" fontId="7" fillId="0" borderId="45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0" fillId="0" borderId="47" xfId="0" applyNumberFormat="1" applyFont="1" applyFill="1" applyBorder="1" applyAlignment="1">
      <alignment/>
    </xf>
    <xf numFmtId="4" fontId="0" fillId="0" borderId="44" xfId="0" applyNumberFormat="1" applyFont="1" applyFill="1" applyBorder="1" applyAlignment="1">
      <alignment/>
    </xf>
    <xf numFmtId="4" fontId="0" fillId="0" borderId="4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Continuous"/>
    </xf>
    <xf numFmtId="0" fontId="7" fillId="0" borderId="53" xfId="0" applyFont="1" applyFill="1" applyBorder="1" applyAlignment="1">
      <alignment horizontal="centerContinuous"/>
    </xf>
    <xf numFmtId="4" fontId="7" fillId="0" borderId="54" xfId="0" applyNumberFormat="1" applyFont="1" applyFill="1" applyBorder="1" applyAlignment="1">
      <alignment/>
    </xf>
    <xf numFmtId="4" fontId="7" fillId="0" borderId="55" xfId="0" applyNumberFormat="1" applyFont="1" applyFill="1" applyBorder="1" applyAlignment="1">
      <alignment/>
    </xf>
    <xf numFmtId="4" fontId="7" fillId="0" borderId="56" xfId="0" applyNumberFormat="1" applyFont="1" applyFill="1" applyBorder="1" applyAlignment="1">
      <alignment/>
    </xf>
    <xf numFmtId="4" fontId="7" fillId="0" borderId="57" xfId="0" applyNumberFormat="1" applyFont="1" applyFill="1" applyBorder="1" applyAlignment="1">
      <alignment/>
    </xf>
    <xf numFmtId="4" fontId="34" fillId="0" borderId="0" xfId="0" applyNumberFormat="1" applyFont="1" applyFill="1" applyAlignment="1">
      <alignment/>
    </xf>
    <xf numFmtId="0" fontId="7" fillId="0" borderId="48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0" borderId="60" xfId="0" applyFill="1" applyBorder="1" applyAlignment="1">
      <alignment/>
    </xf>
    <xf numFmtId="0" fontId="0" fillId="0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32" xfId="0" applyFill="1" applyBorder="1" applyAlignment="1">
      <alignment/>
    </xf>
    <xf numFmtId="4" fontId="0" fillId="0" borderId="63" xfId="0" applyNumberFormat="1" applyFill="1" applyBorder="1" applyAlignment="1">
      <alignment/>
    </xf>
    <xf numFmtId="4" fontId="20" fillId="0" borderId="0" xfId="0" applyNumberFormat="1" applyFont="1" applyFill="1" applyAlignment="1">
      <alignment/>
    </xf>
    <xf numFmtId="4" fontId="7" fillId="0" borderId="18" xfId="0" applyNumberFormat="1" applyFont="1" applyFill="1" applyBorder="1" applyAlignment="1">
      <alignment horizontal="center" vertical="center"/>
    </xf>
    <xf numFmtId="168" fontId="27" fillId="0" borderId="14" xfId="0" applyNumberFormat="1" applyFont="1" applyFill="1" applyBorder="1" applyAlignment="1">
      <alignment horizontal="left" indent="2"/>
    </xf>
    <xf numFmtId="168" fontId="27" fillId="0" borderId="14" xfId="0" applyNumberFormat="1" applyFont="1" applyFill="1" applyBorder="1" applyAlignment="1">
      <alignment/>
    </xf>
    <xf numFmtId="168" fontId="12" fillId="0" borderId="14" xfId="0" applyNumberFormat="1" applyFont="1" applyFill="1" applyBorder="1" applyAlignment="1">
      <alignment horizontal="left"/>
    </xf>
    <xf numFmtId="4" fontId="0" fillId="0" borderId="44" xfId="0" applyNumberFormat="1" applyFont="1" applyFill="1" applyBorder="1" applyAlignment="1">
      <alignment/>
    </xf>
    <xf numFmtId="0" fontId="17" fillId="0" borderId="18" xfId="0" applyFont="1" applyFill="1" applyBorder="1" applyAlignment="1" applyProtection="1">
      <alignment horizontal="center" vertical="center"/>
      <protection/>
    </xf>
    <xf numFmtId="4" fontId="17" fillId="0" borderId="42" xfId="0" applyNumberFormat="1" applyFont="1" applyFill="1" applyBorder="1" applyAlignment="1" applyProtection="1" quotePrefix="1">
      <alignment horizontal="center" vertical="center"/>
      <protection/>
    </xf>
    <xf numFmtId="0" fontId="9" fillId="0" borderId="64" xfId="0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68" fontId="27" fillId="0" borderId="14" xfId="0" applyNumberFormat="1" applyFont="1" applyFill="1" applyBorder="1" applyAlignment="1">
      <alignment horizontal="left"/>
    </xf>
    <xf numFmtId="0" fontId="26" fillId="0" borderId="0" xfId="0" applyFont="1" applyFill="1" applyAlignment="1">
      <alignment/>
    </xf>
    <xf numFmtId="168" fontId="12" fillId="0" borderId="65" xfId="0" applyNumberFormat="1" applyFont="1" applyFill="1" applyBorder="1" applyAlignment="1">
      <alignment/>
    </xf>
    <xf numFmtId="168" fontId="12" fillId="0" borderId="66" xfId="0" applyNumberFormat="1" applyFont="1" applyFill="1" applyBorder="1" applyAlignment="1">
      <alignment horizontal="left"/>
    </xf>
    <xf numFmtId="4" fontId="12" fillId="0" borderId="17" xfId="0" applyNumberFormat="1" applyFont="1" applyFill="1" applyBorder="1" applyAlignment="1">
      <alignment/>
    </xf>
    <xf numFmtId="168" fontId="14" fillId="0" borderId="14" xfId="0" applyNumberFormat="1" applyFont="1" applyFill="1" applyBorder="1" applyAlignment="1">
      <alignment/>
    </xf>
    <xf numFmtId="168" fontId="27" fillId="0" borderId="14" xfId="0" applyNumberFormat="1" applyFont="1" applyFill="1" applyBorder="1" applyAlignment="1" quotePrefix="1">
      <alignment horizontal="right"/>
    </xf>
    <xf numFmtId="0" fontId="7" fillId="0" borderId="67" xfId="0" applyFont="1" applyFill="1" applyBorder="1" applyAlignment="1">
      <alignment/>
    </xf>
    <xf numFmtId="4" fontId="15" fillId="0" borderId="16" xfId="0" applyNumberFormat="1" applyFont="1" applyFill="1" applyBorder="1" applyAlignment="1">
      <alignment/>
    </xf>
    <xf numFmtId="168" fontId="12" fillId="0" borderId="66" xfId="0" applyNumberFormat="1" applyFont="1" applyFill="1" applyBorder="1" applyAlignment="1">
      <alignment/>
    </xf>
    <xf numFmtId="168" fontId="15" fillId="0" borderId="14" xfId="0" applyNumberFormat="1" applyFont="1" applyFill="1" applyBorder="1" applyAlignment="1">
      <alignment/>
    </xf>
    <xf numFmtId="168" fontId="14" fillId="0" borderId="65" xfId="0" applyNumberFormat="1" applyFont="1" applyFill="1" applyBorder="1" applyAlignment="1">
      <alignment/>
    </xf>
    <xf numFmtId="168" fontId="14" fillId="0" borderId="66" xfId="0" applyNumberFormat="1" applyFont="1" applyFill="1" applyBorder="1" applyAlignment="1">
      <alignment/>
    </xf>
    <xf numFmtId="0" fontId="16" fillId="0" borderId="65" xfId="0" applyFont="1" applyFill="1" applyBorder="1" applyAlignment="1">
      <alignment/>
    </xf>
    <xf numFmtId="168" fontId="12" fillId="0" borderId="68" xfId="0" applyNumberFormat="1" applyFont="1" applyFill="1" applyBorder="1" applyAlignment="1">
      <alignment horizontal="center" vertical="center"/>
    </xf>
    <xf numFmtId="168" fontId="10" fillId="0" borderId="69" xfId="0" applyNumberFormat="1" applyFont="1" applyFill="1" applyBorder="1" applyAlignment="1">
      <alignment horizontal="left" vertical="center"/>
    </xf>
    <xf numFmtId="4" fontId="12" fillId="0" borderId="69" xfId="0" applyNumberFormat="1" applyFont="1" applyFill="1" applyBorder="1" applyAlignment="1">
      <alignment vertical="center"/>
    </xf>
    <xf numFmtId="0" fontId="7" fillId="0" borderId="70" xfId="0" applyFont="1" applyFill="1" applyBorder="1" applyAlignment="1">
      <alignment horizontal="center" vertical="center"/>
    </xf>
    <xf numFmtId="4" fontId="7" fillId="0" borderId="70" xfId="0" applyNumberFormat="1" applyFont="1" applyFill="1" applyBorder="1" applyAlignment="1" quotePrefix="1">
      <alignment horizontal="center" vertical="center"/>
    </xf>
    <xf numFmtId="168" fontId="7" fillId="0" borderId="71" xfId="0" applyNumberFormat="1" applyFont="1" applyFill="1" applyBorder="1" applyAlignment="1" quotePrefix="1">
      <alignment horizontal="center" vertical="center"/>
    </xf>
    <xf numFmtId="4" fontId="7" fillId="0" borderId="71" xfId="0" applyNumberFormat="1" applyFont="1" applyFill="1" applyBorder="1" applyAlignment="1" quotePrefix="1">
      <alignment horizontal="center" vertical="center"/>
    </xf>
    <xf numFmtId="168" fontId="7" fillId="0" borderId="71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168" fontId="12" fillId="6" borderId="14" xfId="0" applyNumberFormat="1" applyFont="1" applyFill="1" applyBorder="1" applyAlignment="1">
      <alignment horizontal="left"/>
    </xf>
    <xf numFmtId="4" fontId="12" fillId="6" borderId="13" xfId="0" applyNumberFormat="1" applyFont="1" applyFill="1" applyBorder="1" applyAlignment="1">
      <alignment/>
    </xf>
    <xf numFmtId="168" fontId="12" fillId="6" borderId="72" xfId="0" applyNumberFormat="1" applyFont="1" applyFill="1" applyBorder="1" applyAlignment="1">
      <alignment horizontal="left"/>
    </xf>
    <xf numFmtId="4" fontId="12" fillId="6" borderId="73" xfId="0" applyNumberFormat="1" applyFont="1" applyFill="1" applyBorder="1" applyAlignment="1">
      <alignment/>
    </xf>
    <xf numFmtId="168" fontId="12" fillId="6" borderId="64" xfId="0" applyNumberFormat="1" applyFont="1" applyFill="1" applyBorder="1" applyAlignment="1">
      <alignment/>
    </xf>
    <xf numFmtId="4" fontId="12" fillId="6" borderId="74" xfId="0" applyNumberFormat="1" applyFont="1" applyFill="1" applyBorder="1" applyAlignment="1">
      <alignment/>
    </xf>
    <xf numFmtId="168" fontId="12" fillId="6" borderId="66" xfId="0" applyNumberFormat="1" applyFont="1" applyFill="1" applyBorder="1" applyAlignment="1">
      <alignment horizontal="right"/>
    </xf>
    <xf numFmtId="4" fontId="12" fillId="6" borderId="17" xfId="0" applyNumberFormat="1" applyFont="1" applyFill="1" applyBorder="1" applyAlignment="1">
      <alignment/>
    </xf>
    <xf numFmtId="168" fontId="12" fillId="6" borderId="66" xfId="0" applyNumberFormat="1" applyFont="1" applyFill="1" applyBorder="1" applyAlignment="1">
      <alignment horizontal="center" vertical="center"/>
    </xf>
    <xf numFmtId="4" fontId="12" fillId="6" borderId="17" xfId="0" applyNumberFormat="1" applyFont="1" applyFill="1" applyBorder="1" applyAlignment="1">
      <alignment vertical="center"/>
    </xf>
    <xf numFmtId="4" fontId="13" fillId="6" borderId="74" xfId="0" applyNumberFormat="1" applyFont="1" applyFill="1" applyBorder="1" applyAlignment="1" quotePrefix="1">
      <alignment horizontal="center" vertical="center"/>
    </xf>
    <xf numFmtId="168" fontId="12" fillId="6" borderId="64" xfId="0" applyNumberFormat="1" applyFont="1" applyFill="1" applyBorder="1" applyAlignment="1">
      <alignment horizontal="center"/>
    </xf>
    <xf numFmtId="168" fontId="12" fillId="6" borderId="14" xfId="0" applyNumberFormat="1" applyFont="1" applyFill="1" applyBorder="1" applyAlignment="1">
      <alignment/>
    </xf>
    <xf numFmtId="168" fontId="12" fillId="6" borderId="72" xfId="0" applyNumberFormat="1" applyFont="1" applyFill="1" applyBorder="1" applyAlignment="1">
      <alignment/>
    </xf>
    <xf numFmtId="168" fontId="12" fillId="6" borderId="66" xfId="0" applyNumberFormat="1" applyFont="1" applyFill="1" applyBorder="1" applyAlignment="1">
      <alignment horizontal="center" vertical="center" wrapText="1"/>
    </xf>
    <xf numFmtId="4" fontId="12" fillId="6" borderId="17" xfId="0" applyNumberFormat="1" applyFont="1" applyFill="1" applyBorder="1" applyAlignment="1">
      <alignment vertical="center" wrapText="1"/>
    </xf>
    <xf numFmtId="4" fontId="0" fillId="0" borderId="0" xfId="0" applyNumberFormat="1" applyFill="1" applyAlignment="1">
      <alignment horizontal="centerContinuous"/>
    </xf>
    <xf numFmtId="0" fontId="9" fillId="6" borderId="64" xfId="0" applyFont="1" applyFill="1" applyBorder="1" applyAlignment="1">
      <alignment horizontal="center" vertical="center"/>
    </xf>
    <xf numFmtId="4" fontId="17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/>
    </xf>
    <xf numFmtId="4" fontId="7" fillId="0" borderId="37" xfId="0" applyNumberFormat="1" applyFont="1" applyFill="1" applyBorder="1" applyAlignment="1">
      <alignment horizontal="centerContinuous"/>
    </xf>
    <xf numFmtId="0" fontId="7" fillId="0" borderId="49" xfId="0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Continuous" wrapText="1"/>
    </xf>
    <xf numFmtId="0" fontId="7" fillId="0" borderId="11" xfId="0" applyFont="1" applyFill="1" applyBorder="1" applyAlignment="1">
      <alignment horizontal="centerContinuous" wrapText="1"/>
    </xf>
    <xf numFmtId="4" fontId="7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76" xfId="0" applyNumberFormat="1" applyFont="1" applyFill="1" applyBorder="1" applyAlignment="1">
      <alignment/>
    </xf>
    <xf numFmtId="4" fontId="7" fillId="0" borderId="37" xfId="0" applyNumberFormat="1" applyFont="1" applyFill="1" applyBorder="1" applyAlignment="1">
      <alignment/>
    </xf>
    <xf numFmtId="4" fontId="7" fillId="0" borderId="77" xfId="0" applyNumberFormat="1" applyFont="1" applyFill="1" applyBorder="1" applyAlignment="1">
      <alignment/>
    </xf>
    <xf numFmtId="4" fontId="7" fillId="0" borderId="78" xfId="0" applyNumberFormat="1" applyFont="1" applyFill="1" applyBorder="1" applyAlignment="1">
      <alignment/>
    </xf>
    <xf numFmtId="0" fontId="7" fillId="0" borderId="58" xfId="0" applyFont="1" applyFill="1" applyBorder="1" applyAlignment="1">
      <alignment horizontal="center" vertical="center" wrapText="1"/>
    </xf>
    <xf numFmtId="4" fontId="7" fillId="0" borderId="42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76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" fontId="0" fillId="0" borderId="61" xfId="0" applyNumberFormat="1" applyFill="1" applyBorder="1" applyAlignment="1">
      <alignment/>
    </xf>
    <xf numFmtId="4" fontId="0" fillId="0" borderId="32" xfId="0" applyNumberFormat="1" applyFill="1" applyBorder="1" applyAlignment="1">
      <alignment/>
    </xf>
    <xf numFmtId="0" fontId="0" fillId="0" borderId="63" xfId="0" applyFill="1" applyBorder="1" applyAlignment="1">
      <alignment/>
    </xf>
    <xf numFmtId="4" fontId="0" fillId="0" borderId="50" xfId="0" applyNumberFormat="1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76" xfId="0" applyNumberForma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" fontId="0" fillId="0" borderId="11" xfId="0" applyNumberFormat="1" applyFill="1" applyBorder="1" applyAlignment="1">
      <alignment vertical="center"/>
    </xf>
    <xf numFmtId="4" fontId="7" fillId="0" borderId="34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/>
    </xf>
    <xf numFmtId="4" fontId="7" fillId="0" borderId="79" xfId="0" applyNumberFormat="1" applyFont="1" applyFill="1" applyBorder="1" applyAlignment="1">
      <alignment/>
    </xf>
    <xf numFmtId="4" fontId="17" fillId="0" borderId="42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Alignment="1">
      <alignment horizontal="centerContinuous"/>
    </xf>
    <xf numFmtId="4" fontId="9" fillId="0" borderId="0" xfId="0" applyNumberFormat="1" applyFont="1" applyFill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4" fontId="17" fillId="0" borderId="75" xfId="0" applyNumberFormat="1" applyFont="1" applyFill="1" applyBorder="1" applyAlignment="1" applyProtection="1">
      <alignment horizontal="centerContinuous" vertical="center"/>
      <protection/>
    </xf>
    <xf numFmtId="0" fontId="17" fillId="0" borderId="42" xfId="0" applyNumberFormat="1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>
      <alignment/>
    </xf>
    <xf numFmtId="4" fontId="0" fillId="0" borderId="0" xfId="0" applyNumberFormat="1" applyFill="1" applyAlignment="1">
      <alignment/>
    </xf>
    <xf numFmtId="0" fontId="7" fillId="0" borderId="43" xfId="0" applyFont="1" applyFill="1" applyBorder="1" applyAlignment="1">
      <alignment horizontal="centerContinuous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Continuous" vertical="top"/>
    </xf>
    <xf numFmtId="0" fontId="7" fillId="0" borderId="26" xfId="0" applyFont="1" applyFill="1" applyBorder="1" applyAlignment="1">
      <alignment horizontal="centerContinuous" vertical="top"/>
    </xf>
    <xf numFmtId="0" fontId="7" fillId="0" borderId="58" xfId="0" applyFont="1" applyFill="1" applyBorder="1" applyAlignment="1">
      <alignment horizontal="centerContinuous" vertical="center"/>
    </xf>
    <xf numFmtId="0" fontId="0" fillId="18" borderId="0" xfId="0" applyFill="1" applyAlignment="1">
      <alignment/>
    </xf>
    <xf numFmtId="4" fontId="0" fillId="18" borderId="0" xfId="0" applyNumberFormat="1" applyFill="1" applyAlignment="1">
      <alignment/>
    </xf>
    <xf numFmtId="0" fontId="7" fillId="0" borderId="80" xfId="0" applyFont="1" applyBorder="1" applyAlignment="1">
      <alignment horizontal="center"/>
    </xf>
    <xf numFmtId="0" fontId="16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16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4" fillId="0" borderId="11" xfId="0" applyFont="1" applyFill="1" applyBorder="1" applyAlignment="1" applyProtection="1">
      <alignment horizontal="centerContinuous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4" fillId="0" borderId="42" xfId="0" applyFont="1" applyFill="1" applyBorder="1" applyAlignment="1" applyProtection="1">
      <alignment vertical="center"/>
      <protection/>
    </xf>
    <xf numFmtId="0" fontId="11" fillId="0" borderId="74" xfId="0" applyFont="1" applyFill="1" applyBorder="1" applyAlignment="1" applyProtection="1">
      <alignment horizontal="left" vertical="center"/>
      <protection/>
    </xf>
    <xf numFmtId="0" fontId="16" fillId="0" borderId="18" xfId="0" applyFont="1" applyFill="1" applyBorder="1" applyAlignment="1" applyProtection="1">
      <alignment vertical="center"/>
      <protection/>
    </xf>
    <xf numFmtId="168" fontId="11" fillId="0" borderId="13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vertical="center"/>
      <protection/>
    </xf>
    <xf numFmtId="4" fontId="16" fillId="0" borderId="1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168" fontId="11" fillId="0" borderId="13" xfId="0" applyNumberFormat="1" applyFont="1" applyFill="1" applyBorder="1" applyAlignment="1" applyProtection="1">
      <alignment horizontal="left" vertical="center" indent="1"/>
      <protection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0" fontId="16" fillId="0" borderId="13" xfId="0" applyFont="1" applyFill="1" applyBorder="1" applyAlignment="1" applyProtection="1">
      <alignment horizontal="left" vertical="center" indent="2"/>
      <protection/>
    </xf>
    <xf numFmtId="0" fontId="35" fillId="0" borderId="13" xfId="0" applyFont="1" applyFill="1" applyBorder="1" applyAlignment="1" applyProtection="1">
      <alignment vertical="center"/>
      <protection/>
    </xf>
    <xf numFmtId="168" fontId="11" fillId="0" borderId="13" xfId="0" applyNumberFormat="1" applyFont="1" applyFill="1" applyBorder="1" applyAlignment="1" applyProtection="1">
      <alignment horizontal="left"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2"/>
      <protection/>
    </xf>
    <xf numFmtId="168" fontId="16" fillId="0" borderId="13" xfId="0" applyNumberFormat="1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3"/>
      <protection/>
    </xf>
    <xf numFmtId="168" fontId="16" fillId="0" borderId="13" xfId="0" applyNumberFormat="1" applyFont="1" applyFill="1" applyBorder="1" applyAlignment="1" applyProtection="1">
      <alignment vertical="center"/>
      <protection/>
    </xf>
    <xf numFmtId="168" fontId="16" fillId="0" borderId="16" xfId="0" applyNumberFormat="1" applyFont="1" applyFill="1" applyBorder="1" applyAlignment="1" applyProtection="1">
      <alignment vertical="center"/>
      <protection/>
    </xf>
    <xf numFmtId="0" fontId="16" fillId="0" borderId="16" xfId="0" applyFont="1" applyFill="1" applyBorder="1" applyAlignment="1" applyProtection="1">
      <alignment vertical="center"/>
      <protection/>
    </xf>
    <xf numFmtId="168" fontId="16" fillId="0" borderId="16" xfId="0" applyNumberFormat="1" applyFont="1" applyFill="1" applyBorder="1" applyAlignment="1" applyProtection="1">
      <alignment horizontal="left" vertical="center" indent="2"/>
      <protection/>
    </xf>
    <xf numFmtId="4" fontId="16" fillId="0" borderId="16" xfId="0" applyNumberFormat="1" applyFont="1" applyFill="1" applyBorder="1" applyAlignment="1" applyProtection="1">
      <alignment vertical="center"/>
      <protection locked="0"/>
    </xf>
    <xf numFmtId="168" fontId="11" fillId="0" borderId="81" xfId="0" applyNumberFormat="1" applyFont="1" applyFill="1" applyBorder="1" applyAlignment="1" applyProtection="1">
      <alignment horizontal="center" vertical="center"/>
      <protection/>
    </xf>
    <xf numFmtId="0" fontId="11" fillId="0" borderId="81" xfId="0" applyFont="1" applyFill="1" applyBorder="1" applyAlignment="1" applyProtection="1">
      <alignment vertical="center"/>
      <protection/>
    </xf>
    <xf numFmtId="4" fontId="11" fillId="0" borderId="81" xfId="0" applyNumberFormat="1" applyFont="1" applyFill="1" applyBorder="1" applyAlignment="1" applyProtection="1">
      <alignment vertical="center"/>
      <protection/>
    </xf>
    <xf numFmtId="4" fontId="36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168" fontId="11" fillId="0" borderId="13" xfId="0" applyNumberFormat="1" applyFont="1" applyFill="1" applyBorder="1" applyAlignment="1" applyProtection="1">
      <alignment horizontal="left" vertical="center" indent="2"/>
      <protection/>
    </xf>
    <xf numFmtId="168" fontId="16" fillId="0" borderId="13" xfId="0" applyNumberFormat="1" applyFont="1" applyFill="1" applyBorder="1" applyAlignment="1" applyProtection="1">
      <alignment horizontal="left" vertical="center" indent="4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168" fontId="16" fillId="0" borderId="13" xfId="0" applyNumberFormat="1" applyFont="1" applyFill="1" applyBorder="1" applyAlignment="1" applyProtection="1">
      <alignment horizontal="left" vertical="center" indent="1"/>
      <protection/>
    </xf>
    <xf numFmtId="0" fontId="16" fillId="0" borderId="13" xfId="0" applyFont="1" applyFill="1" applyBorder="1" applyAlignment="1" applyProtection="1">
      <alignment/>
      <protection/>
    </xf>
    <xf numFmtId="3" fontId="16" fillId="0" borderId="13" xfId="0" applyNumberFormat="1" applyFont="1" applyFill="1" applyBorder="1" applyAlignment="1" applyProtection="1">
      <alignment horizontal="left" vertical="center" indent="4"/>
      <protection/>
    </xf>
    <xf numFmtId="168" fontId="11" fillId="0" borderId="13" xfId="0" applyNumberFormat="1" applyFont="1" applyFill="1" applyBorder="1" applyAlignment="1" applyProtection="1">
      <alignment horizontal="left" vertical="center" indent="3"/>
      <protection/>
    </xf>
    <xf numFmtId="168" fontId="16" fillId="0" borderId="13" xfId="0" applyNumberFormat="1" applyFont="1" applyFill="1" applyBorder="1" applyAlignment="1" applyProtection="1">
      <alignment horizontal="left" vertical="center" indent="5"/>
      <protection/>
    </xf>
    <xf numFmtId="168" fontId="16" fillId="0" borderId="16" xfId="0" applyNumberFormat="1" applyFont="1" applyFill="1" applyBorder="1" applyAlignment="1" applyProtection="1">
      <alignment horizontal="left" vertical="center" indent="4"/>
      <protection/>
    </xf>
    <xf numFmtId="168" fontId="16" fillId="0" borderId="0" xfId="0" applyNumberFormat="1" applyFont="1" applyFill="1" applyBorder="1" applyAlignment="1" applyProtection="1">
      <alignment horizontal="center" vertical="center"/>
      <protection/>
    </xf>
    <xf numFmtId="10" fontId="11" fillId="0" borderId="0" xfId="0" applyNumberFormat="1" applyFont="1" applyFill="1" applyBorder="1" applyAlignment="1" applyProtection="1">
      <alignment vertical="center"/>
      <protection/>
    </xf>
    <xf numFmtId="168" fontId="11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horizontal="centerContinuous" vertical="center"/>
      <protection/>
    </xf>
    <xf numFmtId="168" fontId="11" fillId="0" borderId="13" xfId="0" applyNumberFormat="1" applyFont="1" applyFill="1" applyBorder="1" applyAlignment="1" applyProtection="1">
      <alignment horizontal="center" vertical="center"/>
      <protection/>
    </xf>
    <xf numFmtId="3" fontId="16" fillId="0" borderId="13" xfId="0" applyNumberFormat="1" applyFont="1" applyFill="1" applyBorder="1" applyAlignment="1" applyProtection="1">
      <alignment vertical="center"/>
      <protection/>
    </xf>
    <xf numFmtId="3" fontId="16" fillId="0" borderId="13" xfId="0" applyNumberFormat="1" applyFont="1" applyFill="1" applyBorder="1" applyAlignment="1" applyProtection="1">
      <alignment horizontal="left" vertical="center" indent="2"/>
      <protection/>
    </xf>
    <xf numFmtId="0" fontId="16" fillId="16" borderId="0" xfId="0" applyFont="1" applyFill="1" applyBorder="1" applyAlignment="1" applyProtection="1">
      <alignment vertical="center"/>
      <protection/>
    </xf>
    <xf numFmtId="3" fontId="16" fillId="16" borderId="13" xfId="0" applyNumberFormat="1" applyFont="1" applyFill="1" applyBorder="1" applyAlignment="1" applyProtection="1">
      <alignment vertical="center"/>
      <protection/>
    </xf>
    <xf numFmtId="0" fontId="16" fillId="16" borderId="13" xfId="0" applyFont="1" applyFill="1" applyBorder="1" applyAlignment="1" applyProtection="1">
      <alignment vertical="center"/>
      <protection/>
    </xf>
    <xf numFmtId="3" fontId="16" fillId="16" borderId="13" xfId="0" applyNumberFormat="1" applyFont="1" applyFill="1" applyBorder="1" applyAlignment="1" applyProtection="1">
      <alignment horizontal="left" vertical="center" indent="2"/>
      <protection/>
    </xf>
    <xf numFmtId="0" fontId="16" fillId="19" borderId="0" xfId="0" applyFont="1" applyFill="1" applyBorder="1" applyAlignment="1" applyProtection="1">
      <alignment vertical="center"/>
      <protection/>
    </xf>
    <xf numFmtId="0" fontId="16" fillId="19" borderId="13" xfId="0" applyFont="1" applyFill="1" applyBorder="1" applyAlignment="1" applyProtection="1">
      <alignment vertical="center"/>
      <protection/>
    </xf>
    <xf numFmtId="0" fontId="11" fillId="19" borderId="13" xfId="0" applyFont="1" applyFill="1" applyBorder="1" applyAlignment="1" applyProtection="1">
      <alignment vertical="center"/>
      <protection/>
    </xf>
    <xf numFmtId="0" fontId="16" fillId="19" borderId="13" xfId="0" applyFont="1" applyFill="1" applyBorder="1" applyAlignment="1" applyProtection="1">
      <alignment horizontal="left" vertical="center" indent="2"/>
      <protection/>
    </xf>
    <xf numFmtId="4" fontId="16" fillId="19" borderId="13" xfId="0" applyNumberFormat="1" applyFont="1" applyFill="1" applyBorder="1" applyAlignment="1" applyProtection="1">
      <alignment vertical="center"/>
      <protection locked="0"/>
    </xf>
    <xf numFmtId="0" fontId="16" fillId="16" borderId="13" xfId="0" applyFont="1" applyFill="1" applyBorder="1" applyAlignment="1" applyProtection="1">
      <alignment horizontal="left" vertical="center" indent="2"/>
      <protection/>
    </xf>
    <xf numFmtId="4" fontId="16" fillId="16" borderId="13" xfId="0" applyNumberFormat="1" applyFont="1" applyFill="1" applyBorder="1" applyAlignment="1" applyProtection="1">
      <alignment vertical="center"/>
      <protection locked="0"/>
    </xf>
    <xf numFmtId="3" fontId="11" fillId="0" borderId="13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16" borderId="13" xfId="0" applyFont="1" applyFill="1" applyBorder="1" applyAlignment="1" applyProtection="1">
      <alignment vertical="center"/>
      <protection/>
    </xf>
    <xf numFmtId="168" fontId="16" fillId="16" borderId="13" xfId="0" applyNumberFormat="1" applyFont="1" applyFill="1" applyBorder="1" applyAlignment="1" applyProtection="1">
      <alignment horizontal="left" vertical="center" indent="2"/>
      <protection/>
    </xf>
    <xf numFmtId="4" fontId="11" fillId="0" borderId="13" xfId="0" applyNumberFormat="1" applyFont="1" applyFill="1" applyBorder="1" applyAlignment="1" applyProtection="1">
      <alignment vertical="center"/>
      <protection/>
    </xf>
    <xf numFmtId="0" fontId="16" fillId="16" borderId="0" xfId="0" applyFont="1" applyFill="1" applyBorder="1" applyAlignment="1" applyProtection="1">
      <alignment vertical="center"/>
      <protection locked="0"/>
    </xf>
    <xf numFmtId="4" fontId="16" fillId="16" borderId="13" xfId="0" applyNumberFormat="1" applyFont="1" applyFill="1" applyBorder="1" applyAlignment="1" applyProtection="1">
      <alignment vertical="center"/>
      <protection/>
    </xf>
    <xf numFmtId="0" fontId="11" fillId="16" borderId="0" xfId="0" applyFont="1" applyFill="1" applyBorder="1" applyAlignment="1" applyProtection="1">
      <alignment vertical="center"/>
      <protection locked="0"/>
    </xf>
    <xf numFmtId="4" fontId="16" fillId="0" borderId="13" xfId="0" applyNumberFormat="1" applyFont="1" applyFill="1" applyBorder="1" applyAlignment="1" applyProtection="1">
      <alignment vertical="center"/>
      <protection/>
    </xf>
    <xf numFmtId="0" fontId="16" fillId="18" borderId="0" xfId="0" applyFont="1" applyFill="1" applyBorder="1" applyAlignment="1" applyProtection="1">
      <alignment vertical="center"/>
      <protection locked="0"/>
    </xf>
    <xf numFmtId="0" fontId="16" fillId="18" borderId="13" xfId="0" applyFont="1" applyFill="1" applyBorder="1" applyAlignment="1" applyProtection="1">
      <alignment vertical="center"/>
      <protection/>
    </xf>
    <xf numFmtId="0" fontId="11" fillId="18" borderId="13" xfId="0" applyFont="1" applyFill="1" applyBorder="1" applyAlignment="1" applyProtection="1">
      <alignment vertical="center"/>
      <protection/>
    </xf>
    <xf numFmtId="168" fontId="16" fillId="18" borderId="13" xfId="0" applyNumberFormat="1" applyFont="1" applyFill="1" applyBorder="1" applyAlignment="1" applyProtection="1">
      <alignment horizontal="left" vertical="center" indent="2"/>
      <protection/>
    </xf>
    <xf numFmtId="4" fontId="16" fillId="18" borderId="13" xfId="0" applyNumberFormat="1" applyFont="1" applyFill="1" applyBorder="1" applyAlignment="1" applyProtection="1">
      <alignment vertical="center"/>
      <protection locked="0"/>
    </xf>
    <xf numFmtId="0" fontId="11" fillId="18" borderId="0" xfId="0" applyFont="1" applyFill="1" applyBorder="1" applyAlignment="1" applyProtection="1">
      <alignment vertical="center"/>
      <protection locked="0"/>
    </xf>
    <xf numFmtId="0" fontId="16" fillId="18" borderId="13" xfId="0" applyFont="1" applyFill="1" applyBorder="1" applyAlignment="1" applyProtection="1">
      <alignment horizontal="left" vertical="center" indent="2"/>
      <protection/>
    </xf>
    <xf numFmtId="168" fontId="11" fillId="0" borderId="16" xfId="0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Continuous" vertical="center"/>
      <protection/>
    </xf>
    <xf numFmtId="0" fontId="11" fillId="0" borderId="13" xfId="0" applyFont="1" applyFill="1" applyBorder="1" applyAlignment="1" applyProtection="1">
      <alignment horizontal="right" vertical="center"/>
      <protection/>
    </xf>
    <xf numFmtId="0" fontId="11" fillId="0" borderId="13" xfId="0" applyFont="1" applyFill="1" applyBorder="1" applyAlignment="1" applyProtection="1">
      <alignment horizontal="left" vertical="center" indent="1"/>
      <protection/>
    </xf>
    <xf numFmtId="168" fontId="16" fillId="0" borderId="0" xfId="0" applyNumberFormat="1" applyFont="1" applyFill="1" applyBorder="1" applyAlignment="1" applyProtection="1">
      <alignment vertical="center"/>
      <protection/>
    </xf>
    <xf numFmtId="168" fontId="38" fillId="0" borderId="13" xfId="0" applyNumberFormat="1" applyFont="1" applyFill="1" applyBorder="1" applyAlignment="1" applyProtection="1">
      <alignment horizontal="left" vertical="center" indent="3"/>
      <protection/>
    </xf>
    <xf numFmtId="0" fontId="16" fillId="0" borderId="13" xfId="0" applyFont="1" applyFill="1" applyBorder="1" applyAlignment="1" applyProtection="1">
      <alignment horizontal="left" vertical="center" indent="3"/>
      <protection/>
    </xf>
    <xf numFmtId="168" fontId="11" fillId="0" borderId="13" xfId="0" applyNumberFormat="1" applyFont="1" applyFill="1" applyBorder="1" applyAlignment="1" applyProtection="1">
      <alignment horizontal="left" vertical="center" indent="4"/>
      <protection/>
    </xf>
    <xf numFmtId="168" fontId="16" fillId="0" borderId="16" xfId="0" applyNumberFormat="1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0" fillId="0" borderId="82" xfId="0" applyFont="1" applyBorder="1" applyAlignment="1">
      <alignment/>
    </xf>
    <xf numFmtId="168" fontId="36" fillId="0" borderId="13" xfId="0" applyNumberFormat="1" applyFont="1" applyFill="1" applyBorder="1" applyAlignment="1" applyProtection="1">
      <alignment horizontal="left" vertical="center" indent="4"/>
      <protection/>
    </xf>
    <xf numFmtId="0" fontId="16" fillId="0" borderId="13" xfId="0" applyFont="1" applyFill="1" applyBorder="1" applyAlignment="1" applyProtection="1">
      <alignment horizontal="left" vertical="center" indent="4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6" fillId="0" borderId="47" xfId="0" applyFont="1" applyFill="1" applyBorder="1" applyAlignment="1" applyProtection="1">
      <alignment horizontal="centerContinuous" vertical="center"/>
      <protection/>
    </xf>
    <xf numFmtId="0" fontId="16" fillId="0" borderId="47" xfId="0" applyFont="1" applyFill="1" applyBorder="1" applyAlignment="1" applyProtection="1">
      <alignment vertical="center"/>
      <protection/>
    </xf>
    <xf numFmtId="0" fontId="11" fillId="0" borderId="83" xfId="0" applyFont="1" applyFill="1" applyBorder="1" applyAlignment="1" applyProtection="1">
      <alignment vertical="center"/>
      <protection/>
    </xf>
    <xf numFmtId="168" fontId="11" fillId="0" borderId="83" xfId="0" applyNumberFormat="1" applyFont="1" applyFill="1" applyBorder="1" applyAlignment="1" applyProtection="1">
      <alignment horizontal="left" vertical="center" indent="2"/>
      <protection/>
    </xf>
    <xf numFmtId="4" fontId="11" fillId="0" borderId="83" xfId="0" applyNumberFormat="1" applyFont="1" applyFill="1" applyBorder="1" applyAlignment="1" applyProtection="1">
      <alignment vertical="center"/>
      <protection locked="0"/>
    </xf>
    <xf numFmtId="0" fontId="16" fillId="0" borderId="29" xfId="0" applyFont="1" applyFill="1" applyBorder="1" applyAlignment="1" applyProtection="1">
      <alignment vertical="center"/>
      <protection/>
    </xf>
    <xf numFmtId="0" fontId="16" fillId="0" borderId="37" xfId="0" applyFont="1" applyFill="1" applyBorder="1" applyAlignment="1" applyProtection="1">
      <alignment vertical="center"/>
      <protection/>
    </xf>
    <xf numFmtId="4" fontId="16" fillId="0" borderId="37" xfId="0" applyNumberFormat="1" applyFont="1" applyFill="1" applyBorder="1" applyAlignment="1" applyProtection="1">
      <alignment vertical="center"/>
      <protection/>
    </xf>
    <xf numFmtId="0" fontId="11" fillId="0" borderId="80" xfId="0" applyFont="1" applyFill="1" applyBorder="1" applyAlignment="1" applyProtection="1">
      <alignment vertical="center"/>
      <protection/>
    </xf>
    <xf numFmtId="0" fontId="11" fillId="0" borderId="29" xfId="0" applyFont="1" applyFill="1" applyBorder="1" applyAlignment="1" applyProtection="1">
      <alignment vertical="center"/>
      <protection/>
    </xf>
    <xf numFmtId="4" fontId="11" fillId="0" borderId="84" xfId="0" applyNumberFormat="1" applyFont="1" applyFill="1" applyBorder="1" applyAlignment="1" applyProtection="1">
      <alignment vertical="center"/>
      <protection/>
    </xf>
    <xf numFmtId="4" fontId="16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Continuous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168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2" xfId="0" applyFont="1" applyFill="1" applyBorder="1" applyAlignment="1" applyProtection="1">
      <alignment horizontal="left" vertical="center"/>
      <protection/>
    </xf>
    <xf numFmtId="168" fontId="11" fillId="0" borderId="83" xfId="0" applyNumberFormat="1" applyFont="1" applyFill="1" applyBorder="1" applyAlignment="1" applyProtection="1">
      <alignment vertical="center"/>
      <protection/>
    </xf>
    <xf numFmtId="0" fontId="14" fillId="0" borderId="83" xfId="0" applyFont="1" applyFill="1" applyBorder="1" applyAlignment="1" applyProtection="1">
      <alignment vertical="center"/>
      <protection/>
    </xf>
    <xf numFmtId="0" fontId="0" fillId="0" borderId="83" xfId="0" applyFont="1" applyFill="1" applyBorder="1" applyAlignment="1" applyProtection="1">
      <alignment vertical="center"/>
      <protection/>
    </xf>
    <xf numFmtId="168" fontId="11" fillId="0" borderId="74" xfId="0" applyNumberFormat="1" applyFont="1" applyFill="1" applyBorder="1" applyAlignment="1" applyProtection="1">
      <alignment vertical="center"/>
      <protection/>
    </xf>
    <xf numFmtId="0" fontId="14" fillId="0" borderId="74" xfId="0" applyFont="1" applyFill="1" applyBorder="1" applyAlignment="1" applyProtection="1">
      <alignment vertical="center"/>
      <protection/>
    </xf>
    <xf numFmtId="0" fontId="0" fillId="0" borderId="74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4" fontId="7" fillId="0" borderId="13" xfId="0" applyNumberFormat="1" applyFont="1" applyFill="1" applyBorder="1" applyAlignment="1" applyProtection="1">
      <alignment vertical="center"/>
      <protection/>
    </xf>
    <xf numFmtId="0" fontId="39" fillId="0" borderId="13" xfId="0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vertical="center"/>
      <protection locked="0"/>
    </xf>
    <xf numFmtId="0" fontId="14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2" fillId="0" borderId="81" xfId="0" applyFont="1" applyFill="1" applyBorder="1" applyAlignment="1" applyProtection="1">
      <alignment vertical="center"/>
      <protection/>
    </xf>
    <xf numFmtId="4" fontId="7" fillId="0" borderId="8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168" fontId="11" fillId="0" borderId="0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1" fillId="0" borderId="83" xfId="0" applyFont="1" applyFill="1" applyBorder="1" applyAlignment="1" applyProtection="1">
      <alignment horizontal="left" vertical="center"/>
      <protection/>
    </xf>
    <xf numFmtId="4" fontId="0" fillId="0" borderId="83" xfId="0" applyNumberFormat="1" applyFont="1" applyFill="1" applyBorder="1" applyAlignment="1" applyProtection="1">
      <alignment vertical="center"/>
      <protection/>
    </xf>
    <xf numFmtId="4" fontId="0" fillId="0" borderId="74" xfId="0" applyNumberFormat="1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16" fillId="0" borderId="16" xfId="0" applyFont="1" applyFill="1" applyBorder="1" applyAlignment="1" applyProtection="1">
      <alignment horizontal="left" vertical="center" indent="2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12" fillId="0" borderId="13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16" fillId="0" borderId="18" xfId="0" applyFont="1" applyFill="1" applyBorder="1" applyAlignment="1" applyProtection="1">
      <alignment horizontal="left" vertical="center" indent="2"/>
      <protection/>
    </xf>
    <xf numFmtId="4" fontId="0" fillId="0" borderId="18" xfId="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Alignment="1" applyProtection="1">
      <alignment vertical="center"/>
      <protection/>
    </xf>
    <xf numFmtId="4" fontId="11" fillId="0" borderId="0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16" borderId="13" xfId="0" applyFont="1" applyFill="1" applyBorder="1" applyAlignment="1" applyProtection="1">
      <alignment horizontal="left" vertical="center" indent="1"/>
      <protection/>
    </xf>
    <xf numFmtId="0" fontId="35" fillId="16" borderId="13" xfId="0" applyFont="1" applyFill="1" applyBorder="1" applyAlignment="1" applyProtection="1">
      <alignment vertical="center"/>
      <protection/>
    </xf>
    <xf numFmtId="0" fontId="11" fillId="16" borderId="13" xfId="0" applyFont="1" applyFill="1" applyBorder="1" applyAlignment="1" applyProtection="1">
      <alignment horizontal="left" vertical="center"/>
      <protection/>
    </xf>
    <xf numFmtId="4" fontId="0" fillId="16" borderId="13" xfId="0" applyNumberFormat="1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horizontal="left" vertical="center" indent="1"/>
      <protection/>
    </xf>
    <xf numFmtId="4" fontId="7" fillId="4" borderId="13" xfId="0" applyNumberFormat="1" applyFont="1" applyFill="1" applyBorder="1" applyAlignment="1" applyProtection="1">
      <alignment vertical="center"/>
      <protection/>
    </xf>
    <xf numFmtId="4" fontId="0" fillId="4" borderId="13" xfId="0" applyNumberFormat="1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vertical="center"/>
      <protection/>
    </xf>
    <xf numFmtId="168" fontId="11" fillId="4" borderId="13" xfId="0" applyNumberFormat="1" applyFont="1" applyFill="1" applyBorder="1" applyAlignment="1" applyProtection="1">
      <alignment horizontal="left" vertical="center" indent="1"/>
      <protection/>
    </xf>
    <xf numFmtId="0" fontId="16" fillId="4" borderId="13" xfId="0" applyFont="1" applyFill="1" applyBorder="1" applyAlignment="1" applyProtection="1">
      <alignment vertical="center"/>
      <protection/>
    </xf>
    <xf numFmtId="168" fontId="16" fillId="4" borderId="13" xfId="0" applyNumberFormat="1" applyFont="1" applyFill="1" applyBorder="1" applyAlignment="1" applyProtection="1">
      <alignment horizontal="left" vertical="center" indent="1"/>
      <protection/>
    </xf>
    <xf numFmtId="4" fontId="7" fillId="0" borderId="0" xfId="0" applyNumberFormat="1" applyFont="1" applyFill="1" applyBorder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Fill="1" applyBorder="1" applyAlignment="1">
      <alignment horizontal="centerContinuous"/>
    </xf>
    <xf numFmtId="4" fontId="7" fillId="6" borderId="13" xfId="0" applyNumberFormat="1" applyFont="1" applyFill="1" applyBorder="1" applyAlignment="1" applyProtection="1">
      <alignment vertical="center"/>
      <protection/>
    </xf>
    <xf numFmtId="0" fontId="14" fillId="18" borderId="13" xfId="0" applyFont="1" applyFill="1" applyBorder="1" applyAlignment="1" applyProtection="1">
      <alignment vertical="center"/>
      <protection/>
    </xf>
    <xf numFmtId="4" fontId="0" fillId="18" borderId="13" xfId="0" applyNumberFormat="1" applyFont="1" applyFill="1" applyBorder="1" applyAlignment="1" applyProtection="1">
      <alignment vertical="center"/>
      <protection/>
    </xf>
    <xf numFmtId="0" fontId="14" fillId="4" borderId="13" xfId="0" applyFont="1" applyFill="1" applyBorder="1" applyAlignment="1" applyProtection="1">
      <alignment vertical="center"/>
      <protection/>
    </xf>
    <xf numFmtId="0" fontId="12" fillId="4" borderId="13" xfId="0" applyFont="1" applyFill="1" applyBorder="1" applyAlignment="1" applyProtection="1">
      <alignment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26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4" fontId="20" fillId="0" borderId="43" xfId="0" applyNumberFormat="1" applyFont="1" applyFill="1" applyBorder="1" applyAlignment="1">
      <alignment/>
    </xf>
    <xf numFmtId="0" fontId="7" fillId="0" borderId="80" xfId="0" applyFont="1" applyFill="1" applyBorder="1" applyAlignment="1">
      <alignment/>
    </xf>
    <xf numFmtId="4" fontId="7" fillId="0" borderId="85" xfId="0" applyNumberFormat="1" applyFont="1" applyFill="1" applyBorder="1" applyAlignment="1">
      <alignment/>
    </xf>
    <xf numFmtId="4" fontId="16" fillId="20" borderId="13" xfId="0" applyNumberFormat="1" applyFont="1" applyFill="1" applyBorder="1" applyAlignment="1" applyProtection="1">
      <alignment vertical="center"/>
      <protection locked="0"/>
    </xf>
    <xf numFmtId="4" fontId="0" fillId="20" borderId="13" xfId="0" applyNumberFormat="1" applyFont="1" applyFill="1" applyBorder="1" applyAlignment="1" applyProtection="1">
      <alignment vertical="center"/>
      <protection/>
    </xf>
    <xf numFmtId="168" fontId="36" fillId="0" borderId="16" xfId="0" applyNumberFormat="1" applyFont="1" applyFill="1" applyBorder="1" applyAlignment="1" applyProtection="1">
      <alignment horizontal="left" vertical="center"/>
      <protection/>
    </xf>
    <xf numFmtId="168" fontId="36" fillId="0" borderId="13" xfId="0" applyNumberFormat="1" applyFont="1" applyFill="1" applyBorder="1" applyAlignment="1" applyProtection="1">
      <alignment horizontal="left" vertical="center"/>
      <protection/>
    </xf>
    <xf numFmtId="4" fontId="0" fillId="4" borderId="13" xfId="0" applyNumberFormat="1" applyFont="1" applyFill="1" applyBorder="1" applyAlignment="1" applyProtection="1">
      <alignment vertical="center"/>
      <protection locked="0"/>
    </xf>
    <xf numFmtId="4" fontId="11" fillId="0" borderId="0" xfId="0" applyNumberFormat="1" applyFont="1" applyFill="1" applyBorder="1" applyAlignment="1" applyProtection="1">
      <alignment vertical="center"/>
      <protection locked="0"/>
    </xf>
    <xf numFmtId="4" fontId="27" fillId="0" borderId="13" xfId="0" applyNumberFormat="1" applyFont="1" applyFill="1" applyBorder="1" applyAlignment="1">
      <alignment/>
    </xf>
    <xf numFmtId="4" fontId="7" fillId="20" borderId="13" xfId="0" applyNumberFormat="1" applyFont="1" applyFill="1" applyBorder="1" applyAlignment="1" applyProtection="1">
      <alignment vertical="center"/>
      <protection/>
    </xf>
    <xf numFmtId="4" fontId="14" fillId="0" borderId="0" xfId="0" applyNumberFormat="1" applyFont="1" applyFill="1" applyAlignment="1" applyProtection="1">
      <alignment horizontal="left" vertical="center"/>
      <protection/>
    </xf>
    <xf numFmtId="4" fontId="16" fillId="0" borderId="13" xfId="0" applyNumberFormat="1" applyFont="1" applyFill="1" applyBorder="1" applyAlignment="1" applyProtection="1">
      <alignment horizontal="left" vertical="center" indent="1"/>
      <protection locked="0"/>
    </xf>
    <xf numFmtId="0" fontId="0" fillId="0" borderId="86" xfId="0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2" fontId="14" fillId="0" borderId="0" xfId="0" applyNumberFormat="1" applyFont="1" applyFill="1" applyAlignment="1" applyProtection="1">
      <alignment vertical="center"/>
      <protection/>
    </xf>
    <xf numFmtId="168" fontId="12" fillId="18" borderId="14" xfId="0" applyNumberFormat="1" applyFont="1" applyFill="1" applyBorder="1" applyAlignment="1">
      <alignment/>
    </xf>
    <xf numFmtId="4" fontId="12" fillId="18" borderId="13" xfId="0" applyNumberFormat="1" applyFont="1" applyFill="1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8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81" xfId="0" applyFont="1" applyBorder="1" applyAlignment="1">
      <alignment horizontal="right"/>
    </xf>
    <xf numFmtId="0" fontId="0" fillId="0" borderId="29" xfId="0" applyBorder="1" applyAlignment="1">
      <alignment horizontal="right"/>
    </xf>
    <xf numFmtId="4" fontId="7" fillId="0" borderId="81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0" fillId="0" borderId="0" xfId="0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0" fontId="0" fillId="0" borderId="81" xfId="0" applyBorder="1" applyAlignment="1">
      <alignment horizontal="center" vertical="center" wrapText="1"/>
    </xf>
    <xf numFmtId="0" fontId="21" fillId="0" borderId="18" xfId="49" applyBorder="1" applyAlignment="1">
      <alignment horizontal="center"/>
    </xf>
    <xf numFmtId="0" fontId="0" fillId="0" borderId="18" xfId="0" applyFont="1" applyBorder="1" applyAlignment="1">
      <alignment/>
    </xf>
    <xf numFmtId="0" fontId="21" fillId="0" borderId="42" xfId="49" applyBorder="1" applyAlignment="1">
      <alignment horizontal="center"/>
    </xf>
    <xf numFmtId="0" fontId="0" fillId="0" borderId="42" xfId="0" applyFont="1" applyBorder="1" applyAlignment="1">
      <alignment/>
    </xf>
    <xf numFmtId="4" fontId="0" fillId="12" borderId="0" xfId="0" applyNumberFormat="1" applyFill="1" applyAlignment="1">
      <alignment/>
    </xf>
    <xf numFmtId="0" fontId="7" fillId="12" borderId="81" xfId="0" applyFont="1" applyFill="1" applyBorder="1" applyAlignment="1">
      <alignment horizontal="center"/>
    </xf>
    <xf numFmtId="0" fontId="7" fillId="12" borderId="81" xfId="0" applyFont="1" applyFill="1" applyBorder="1" applyAlignment="1">
      <alignment horizontal="right"/>
    </xf>
    <xf numFmtId="0" fontId="7" fillId="12" borderId="18" xfId="0" applyFont="1" applyFill="1" applyBorder="1" applyAlignment="1">
      <alignment horizontal="right"/>
    </xf>
    <xf numFmtId="0" fontId="0" fillId="12" borderId="29" xfId="0" applyFill="1" applyBorder="1" applyAlignment="1">
      <alignment horizontal="right"/>
    </xf>
    <xf numFmtId="4" fontId="7" fillId="12" borderId="81" xfId="0" applyNumberFormat="1" applyFont="1" applyFill="1" applyBorder="1" applyAlignment="1">
      <alignment horizontal="right"/>
    </xf>
    <xf numFmtId="0" fontId="7" fillId="0" borderId="29" xfId="0" applyFont="1" applyBorder="1" applyAlignment="1">
      <alignment horizontal="right"/>
    </xf>
    <xf numFmtId="0" fontId="7" fillId="0" borderId="85" xfId="0" applyFont="1" applyBorder="1" applyAlignment="1">
      <alignment horizontal="right"/>
    </xf>
    <xf numFmtId="0" fontId="0" fillId="12" borderId="81" xfId="0" applyFill="1" applyBorder="1" applyAlignment="1">
      <alignment horizontal="center" vertical="center" wrapText="1"/>
    </xf>
    <xf numFmtId="4" fontId="0" fillId="12" borderId="11" xfId="0" applyNumberFormat="1" applyFill="1" applyBorder="1" applyAlignment="1">
      <alignment/>
    </xf>
    <xf numFmtId="4" fontId="0" fillId="12" borderId="18" xfId="0" applyNumberFormat="1" applyFill="1" applyBorder="1" applyAlignment="1">
      <alignment/>
    </xf>
    <xf numFmtId="4" fontId="0" fillId="12" borderId="42" xfId="0" applyNumberFormat="1" applyFill="1" applyBorder="1" applyAlignment="1">
      <alignment/>
    </xf>
    <xf numFmtId="0" fontId="7" fillId="12" borderId="0" xfId="0" applyFont="1" applyFill="1" applyBorder="1" applyAlignment="1">
      <alignment horizontal="right"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7" fillId="0" borderId="81" xfId="0" applyFont="1" applyFill="1" applyBorder="1" applyAlignment="1">
      <alignment horizontal="center"/>
    </xf>
    <xf numFmtId="4" fontId="7" fillId="0" borderId="81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 horizontal="right"/>
    </xf>
    <xf numFmtId="0" fontId="0" fillId="12" borderId="0" xfId="0" applyFill="1" applyAlignment="1">
      <alignment/>
    </xf>
    <xf numFmtId="0" fontId="7" fillId="12" borderId="48" xfId="0" applyFont="1" applyFill="1" applyBorder="1" applyAlignment="1">
      <alignment horizontal="center"/>
    </xf>
    <xf numFmtId="0" fontId="0" fillId="12" borderId="37" xfId="0" applyFill="1" applyBorder="1" applyAlignment="1">
      <alignment/>
    </xf>
    <xf numFmtId="4" fontId="0" fillId="12" borderId="49" xfId="0" applyNumberFormat="1" applyFill="1" applyBorder="1" applyAlignment="1">
      <alignment/>
    </xf>
    <xf numFmtId="0" fontId="57" fillId="0" borderId="0" xfId="0" applyFont="1" applyFill="1" applyAlignment="1" applyProtection="1">
      <alignment horizontal="center" vertical="center"/>
      <protection/>
    </xf>
    <xf numFmtId="168" fontId="58" fillId="0" borderId="0" xfId="0" applyNumberFormat="1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right" vertical="center"/>
      <protection/>
    </xf>
    <xf numFmtId="0" fontId="57" fillId="0" borderId="87" xfId="0" applyFont="1" applyFill="1" applyBorder="1" applyAlignment="1" applyProtection="1">
      <alignment horizontal="center" vertical="center" wrapText="1"/>
      <protection/>
    </xf>
    <xf numFmtId="0" fontId="57" fillId="0" borderId="88" xfId="0" applyFont="1" applyFill="1" applyBorder="1" applyAlignment="1" applyProtection="1">
      <alignment horizontal="center" vertical="center" wrapText="1"/>
      <protection/>
    </xf>
    <xf numFmtId="168" fontId="58" fillId="0" borderId="0" xfId="0" applyNumberFormat="1" applyFont="1" applyFill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7" fillId="0" borderId="89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10" fontId="57" fillId="0" borderId="80" xfId="0" applyNumberFormat="1" applyFont="1" applyFill="1" applyBorder="1" applyAlignment="1" applyProtection="1">
      <alignment horizontal="center" vertical="center" wrapText="1"/>
      <protection/>
    </xf>
    <xf numFmtId="10" fontId="57" fillId="0" borderId="90" xfId="0" applyNumberFormat="1" applyFont="1" applyFill="1" applyBorder="1" applyAlignment="1" applyProtection="1">
      <alignment horizontal="center" vertical="center" wrapText="1"/>
      <protection/>
    </xf>
    <xf numFmtId="0" fontId="57" fillId="0" borderId="42" xfId="0" applyFont="1" applyFill="1" applyBorder="1" applyAlignment="1" applyProtection="1">
      <alignment horizontal="center" vertical="center" wrapText="1"/>
      <protection/>
    </xf>
    <xf numFmtId="49" fontId="57" fillId="0" borderId="42" xfId="0" applyNumberFormat="1" applyFont="1" applyFill="1" applyBorder="1" applyAlignment="1" applyProtection="1">
      <alignment horizontal="center" vertical="center" wrapText="1"/>
      <protection/>
    </xf>
    <xf numFmtId="49" fontId="57" fillId="0" borderId="91" xfId="0" applyNumberFormat="1" applyFont="1" applyFill="1" applyBorder="1" applyAlignment="1" applyProtection="1">
      <alignment horizontal="center" vertical="center" wrapText="1"/>
      <protection/>
    </xf>
    <xf numFmtId="0" fontId="58" fillId="0" borderId="92" xfId="0" applyFont="1" applyFill="1" applyBorder="1" applyAlignment="1">
      <alignment vertical="center"/>
    </xf>
    <xf numFmtId="4" fontId="57" fillId="0" borderId="42" xfId="0" applyNumberFormat="1" applyFont="1" applyFill="1" applyBorder="1" applyAlignment="1" applyProtection="1" quotePrefix="1">
      <alignment horizontal="center" vertical="center"/>
      <protection/>
    </xf>
    <xf numFmtId="49" fontId="57" fillId="0" borderId="42" xfId="0" applyNumberFormat="1" applyFont="1" applyFill="1" applyBorder="1" applyAlignment="1" applyProtection="1">
      <alignment horizontal="center" vertical="center"/>
      <protection/>
    </xf>
    <xf numFmtId="10" fontId="57" fillId="0" borderId="42" xfId="0" applyNumberFormat="1" applyFont="1" applyFill="1" applyBorder="1" applyAlignment="1" applyProtection="1">
      <alignment horizontal="center" vertical="center"/>
      <protection/>
    </xf>
    <xf numFmtId="10" fontId="57" fillId="0" borderId="58" xfId="0" applyNumberFormat="1" applyFont="1" applyFill="1" applyBorder="1" applyAlignment="1" applyProtection="1">
      <alignment horizontal="center" vertical="center"/>
      <protection/>
    </xf>
    <xf numFmtId="10" fontId="57" fillId="0" borderId="91" xfId="0" applyNumberFormat="1" applyFont="1" applyFill="1" applyBorder="1" applyAlignment="1" applyProtection="1">
      <alignment horizontal="center" vertical="center"/>
      <protection/>
    </xf>
    <xf numFmtId="0" fontId="57" fillId="0" borderId="93" xfId="0" applyFont="1" applyFill="1" applyBorder="1" applyAlignment="1" applyProtection="1">
      <alignment vertical="center" wrapText="1"/>
      <protection/>
    </xf>
    <xf numFmtId="4" fontId="57" fillId="0" borderId="42" xfId="0" applyNumberFormat="1" applyFont="1" applyFill="1" applyBorder="1" applyAlignment="1" applyProtection="1" quotePrefix="1">
      <alignment horizontal="right" vertical="center"/>
      <protection/>
    </xf>
    <xf numFmtId="49" fontId="57" fillId="0" borderId="42" xfId="0" applyNumberFormat="1" applyFont="1" applyFill="1" applyBorder="1" applyAlignment="1" applyProtection="1">
      <alignment horizontal="right" vertical="center"/>
      <protection/>
    </xf>
    <xf numFmtId="10" fontId="57" fillId="0" borderId="42" xfId="0" applyNumberFormat="1" applyFont="1" applyFill="1" applyBorder="1" applyAlignment="1" applyProtection="1">
      <alignment horizontal="right" vertical="center"/>
      <protection/>
    </xf>
    <xf numFmtId="10" fontId="57" fillId="0" borderId="91" xfId="0" applyNumberFormat="1" applyFont="1" applyFill="1" applyBorder="1" applyAlignment="1" applyProtection="1">
      <alignment horizontal="right" vertical="center"/>
      <protection/>
    </xf>
    <xf numFmtId="4" fontId="57" fillId="0" borderId="18" xfId="0" applyNumberFormat="1" applyFont="1" applyFill="1" applyBorder="1" applyAlignment="1" applyProtection="1" quotePrefix="1">
      <alignment vertical="center"/>
      <protection/>
    </xf>
    <xf numFmtId="49" fontId="57" fillId="0" borderId="18" xfId="0" applyNumberFormat="1" applyFont="1" applyFill="1" applyBorder="1" applyAlignment="1" applyProtection="1">
      <alignment vertical="center"/>
      <protection/>
    </xf>
    <xf numFmtId="10" fontId="57" fillId="0" borderId="18" xfId="0" applyNumberFormat="1" applyFont="1" applyFill="1" applyBorder="1" applyAlignment="1" applyProtection="1">
      <alignment vertical="center"/>
      <protection/>
    </xf>
    <xf numFmtId="4" fontId="57" fillId="0" borderId="41" xfId="0" applyNumberFormat="1" applyFont="1" applyFill="1" applyBorder="1" applyAlignment="1" applyProtection="1">
      <alignment vertical="center"/>
      <protection/>
    </xf>
    <xf numFmtId="10" fontId="57" fillId="0" borderId="94" xfId="0" applyNumberFormat="1" applyFont="1" applyFill="1" applyBorder="1" applyAlignment="1" applyProtection="1">
      <alignment vertical="center"/>
      <protection/>
    </xf>
    <xf numFmtId="0" fontId="58" fillId="0" borderId="92" xfId="0" applyFont="1" applyFill="1" applyBorder="1" applyAlignment="1" applyProtection="1">
      <alignment horizontal="left" vertical="center"/>
      <protection/>
    </xf>
    <xf numFmtId="10" fontId="57" fillId="0" borderId="81" xfId="0" applyNumberFormat="1" applyFont="1" applyFill="1" applyBorder="1" applyAlignment="1" applyProtection="1">
      <alignment horizontal="right" vertical="center"/>
      <protection/>
    </xf>
    <xf numFmtId="0" fontId="57" fillId="0" borderId="92" xfId="0" applyFont="1" applyFill="1" applyBorder="1" applyAlignment="1" applyProtection="1">
      <alignment horizontal="left" vertical="center" wrapText="1"/>
      <protection/>
    </xf>
    <xf numFmtId="4" fontId="58" fillId="0" borderId="93" xfId="0" applyNumberFormat="1" applyFont="1" applyFill="1" applyBorder="1" applyAlignment="1" applyProtection="1">
      <alignment horizontal="left" vertical="center"/>
      <protection/>
    </xf>
    <xf numFmtId="4" fontId="58" fillId="0" borderId="81" xfId="0" applyNumberFormat="1" applyFont="1" applyFill="1" applyBorder="1" applyAlignment="1" applyProtection="1" quotePrefix="1">
      <alignment horizontal="right" vertical="center"/>
      <protection/>
    </xf>
    <xf numFmtId="10" fontId="58" fillId="0" borderId="81" xfId="0" applyNumberFormat="1" applyFont="1" applyFill="1" applyBorder="1" applyAlignment="1" applyProtection="1">
      <alignment horizontal="right" vertical="center"/>
      <protection/>
    </xf>
    <xf numFmtId="10" fontId="58" fillId="0" borderId="91" xfId="0" applyNumberFormat="1" applyFont="1" applyFill="1" applyBorder="1" applyAlignment="1" applyProtection="1">
      <alignment horizontal="right" vertical="center"/>
      <protection/>
    </xf>
    <xf numFmtId="10" fontId="57" fillId="0" borderId="18" xfId="0" applyNumberFormat="1" applyFont="1" applyFill="1" applyBorder="1" applyAlignment="1" applyProtection="1" quotePrefix="1">
      <alignment vertical="center"/>
      <protection/>
    </xf>
    <xf numFmtId="4" fontId="57" fillId="0" borderId="18" xfId="0" applyNumberFormat="1" applyFont="1" applyFill="1" applyBorder="1" applyAlignment="1" applyProtection="1">
      <alignment vertical="center"/>
      <protection/>
    </xf>
    <xf numFmtId="168" fontId="58" fillId="0" borderId="0" xfId="0" applyNumberFormat="1" applyFont="1" applyFill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10" fontId="58" fillId="0" borderId="18" xfId="0" applyNumberFormat="1" applyFont="1" applyFill="1" applyBorder="1" applyAlignment="1">
      <alignment vertical="center"/>
    </xf>
    <xf numFmtId="10" fontId="57" fillId="0" borderId="94" xfId="0" applyNumberFormat="1" applyFont="1" applyFill="1" applyBorder="1" applyAlignment="1" applyProtection="1" quotePrefix="1">
      <alignment vertical="center"/>
      <protection/>
    </xf>
    <xf numFmtId="168" fontId="57" fillId="0" borderId="93" xfId="0" applyNumberFormat="1" applyFont="1" applyFill="1" applyBorder="1" applyAlignment="1" applyProtection="1">
      <alignment horizontal="left" vertical="center"/>
      <protection/>
    </xf>
    <xf numFmtId="4" fontId="57" fillId="0" borderId="81" xfId="0" applyNumberFormat="1" applyFont="1" applyFill="1" applyBorder="1" applyAlignment="1" applyProtection="1">
      <alignment horizontal="right" vertical="center"/>
      <protection/>
    </xf>
    <xf numFmtId="4" fontId="58" fillId="0" borderId="18" xfId="0" applyNumberFormat="1" applyFont="1" applyFill="1" applyBorder="1" applyAlignment="1">
      <alignment vertical="center"/>
    </xf>
    <xf numFmtId="4" fontId="58" fillId="0" borderId="41" xfId="0" applyNumberFormat="1" applyFont="1" applyFill="1" applyBorder="1" applyAlignment="1">
      <alignment vertical="center"/>
    </xf>
    <xf numFmtId="10" fontId="58" fillId="0" borderId="94" xfId="0" applyNumberFormat="1" applyFont="1" applyFill="1" applyBorder="1" applyAlignment="1">
      <alignment vertical="center"/>
    </xf>
    <xf numFmtId="168" fontId="57" fillId="0" borderId="89" xfId="0" applyNumberFormat="1" applyFont="1" applyFill="1" applyBorder="1" applyAlignment="1" applyProtection="1">
      <alignment horizontal="right" vertical="center"/>
      <protection/>
    </xf>
    <xf numFmtId="4" fontId="57" fillId="0" borderId="18" xfId="0" applyNumberFormat="1" applyFont="1" applyFill="1" applyBorder="1" applyAlignment="1" applyProtection="1">
      <alignment horizontal="right" vertical="center"/>
      <protection/>
    </xf>
    <xf numFmtId="10" fontId="57" fillId="0" borderId="18" xfId="0" applyNumberFormat="1" applyFont="1" applyFill="1" applyBorder="1" applyAlignment="1" applyProtection="1">
      <alignment horizontal="right" vertical="center"/>
      <protection/>
    </xf>
    <xf numFmtId="10" fontId="57" fillId="0" borderId="95" xfId="0" applyNumberFormat="1" applyFont="1" applyFill="1" applyBorder="1" applyAlignment="1" applyProtection="1">
      <alignment horizontal="right" vertical="center"/>
      <protection/>
    </xf>
    <xf numFmtId="168" fontId="57" fillId="0" borderId="89" xfId="0" applyNumberFormat="1" applyFont="1" applyFill="1" applyBorder="1" applyAlignment="1" applyProtection="1">
      <alignment vertical="center"/>
      <protection/>
    </xf>
    <xf numFmtId="4" fontId="57" fillId="0" borderId="18" xfId="0" applyNumberFormat="1" applyFont="1" applyFill="1" applyBorder="1" applyAlignment="1">
      <alignment horizontal="right" vertical="center"/>
    </xf>
    <xf numFmtId="10" fontId="57" fillId="0" borderId="18" xfId="0" applyNumberFormat="1" applyFont="1" applyFill="1" applyBorder="1" applyAlignment="1">
      <alignment horizontal="right" vertical="center"/>
    </xf>
    <xf numFmtId="10" fontId="57" fillId="0" borderId="94" xfId="0" applyNumberFormat="1" applyFont="1" applyFill="1" applyBorder="1" applyAlignment="1">
      <alignment horizontal="right" vertical="center"/>
    </xf>
    <xf numFmtId="4" fontId="57" fillId="0" borderId="18" xfId="0" applyNumberFormat="1" applyFont="1" applyFill="1" applyBorder="1" applyAlignment="1">
      <alignment vertical="center"/>
    </xf>
    <xf numFmtId="10" fontId="57" fillId="0" borderId="18" xfId="0" applyNumberFormat="1" applyFont="1" applyFill="1" applyBorder="1" applyAlignment="1">
      <alignment vertical="center"/>
    </xf>
    <xf numFmtId="0" fontId="58" fillId="0" borderId="89" xfId="0" applyFont="1" applyFill="1" applyBorder="1" applyAlignment="1">
      <alignment vertical="center"/>
    </xf>
    <xf numFmtId="4" fontId="58" fillId="0" borderId="18" xfId="0" applyNumberFormat="1" applyFont="1" applyFill="1" applyBorder="1" applyAlignment="1">
      <alignment horizontal="right" vertical="center"/>
    </xf>
    <xf numFmtId="10" fontId="58" fillId="0" borderId="18" xfId="0" applyNumberFormat="1" applyFont="1" applyFill="1" applyBorder="1" applyAlignment="1">
      <alignment horizontal="right" vertical="center"/>
    </xf>
    <xf numFmtId="168" fontId="57" fillId="0" borderId="89" xfId="0" applyNumberFormat="1" applyFont="1" applyFill="1" applyBorder="1" applyAlignment="1" applyProtection="1">
      <alignment horizontal="left" vertical="center"/>
      <protection/>
    </xf>
    <xf numFmtId="168" fontId="58" fillId="0" borderId="89" xfId="0" applyNumberFormat="1" applyFont="1" applyFill="1" applyBorder="1" applyAlignment="1" applyProtection="1">
      <alignment horizontal="left" vertical="center" indent="1"/>
      <protection/>
    </xf>
    <xf numFmtId="168" fontId="58" fillId="0" borderId="89" xfId="0" applyNumberFormat="1" applyFont="1" applyFill="1" applyBorder="1" applyAlignment="1" applyProtection="1">
      <alignment horizontal="left" vertical="center"/>
      <protection/>
    </xf>
    <xf numFmtId="0" fontId="58" fillId="0" borderId="89" xfId="0" applyFont="1" applyFill="1" applyBorder="1" applyAlignment="1">
      <alignment horizontal="left" vertical="center"/>
    </xf>
    <xf numFmtId="170" fontId="58" fillId="0" borderId="0" xfId="0" applyNumberFormat="1" applyFont="1" applyFill="1" applyAlignment="1">
      <alignment vertical="center"/>
    </xf>
    <xf numFmtId="0" fontId="58" fillId="0" borderId="89" xfId="0" applyFont="1" applyFill="1" applyBorder="1" applyAlignment="1">
      <alignment horizontal="left" vertical="center" indent="1"/>
    </xf>
    <xf numFmtId="0" fontId="58" fillId="0" borderId="18" xfId="0" applyFont="1" applyFill="1" applyBorder="1" applyAlignment="1">
      <alignment horizontal="right" vertical="center"/>
    </xf>
    <xf numFmtId="168" fontId="58" fillId="0" borderId="89" xfId="0" applyNumberFormat="1" applyFont="1" applyFill="1" applyBorder="1" applyAlignment="1" applyProtection="1">
      <alignment vertical="center"/>
      <protection/>
    </xf>
    <xf numFmtId="170" fontId="58" fillId="0" borderId="0" xfId="0" applyNumberFormat="1" applyFont="1" applyFill="1" applyBorder="1" applyAlignment="1">
      <alignment vertical="center"/>
    </xf>
    <xf numFmtId="168" fontId="58" fillId="0" borderId="0" xfId="0" applyNumberFormat="1" applyFont="1" applyFill="1" applyBorder="1" applyAlignment="1">
      <alignment vertical="center"/>
    </xf>
    <xf numFmtId="170" fontId="57" fillId="0" borderId="0" xfId="0" applyNumberFormat="1" applyFont="1" applyFill="1" applyBorder="1" applyAlignment="1">
      <alignment vertical="center"/>
    </xf>
    <xf numFmtId="4" fontId="57" fillId="0" borderId="42" xfId="0" applyNumberFormat="1" applyFont="1" applyFill="1" applyBorder="1" applyAlignment="1">
      <alignment vertical="center"/>
    </xf>
    <xf numFmtId="10" fontId="57" fillId="0" borderId="42" xfId="0" applyNumberFormat="1" applyFont="1" applyFill="1" applyBorder="1" applyAlignment="1">
      <alignment vertical="center"/>
    </xf>
    <xf numFmtId="4" fontId="58" fillId="0" borderId="81" xfId="0" applyNumberFormat="1" applyFont="1" applyFill="1" applyBorder="1" applyAlignment="1">
      <alignment vertical="center"/>
    </xf>
    <xf numFmtId="10" fontId="58" fillId="0" borderId="81" xfId="0" applyNumberFormat="1" applyFont="1" applyFill="1" applyBorder="1" applyAlignment="1">
      <alignment vertical="center"/>
    </xf>
    <xf numFmtId="4" fontId="58" fillId="0" borderId="11" xfId="0" applyNumberFormat="1" applyFont="1" applyFill="1" applyBorder="1" applyAlignment="1">
      <alignment vertical="center"/>
    </xf>
    <xf numFmtId="10" fontId="58" fillId="0" borderId="11" xfId="0" applyNumberFormat="1" applyFont="1" applyFill="1" applyBorder="1" applyAlignment="1">
      <alignment vertical="center"/>
    </xf>
    <xf numFmtId="168" fontId="57" fillId="0" borderId="96" xfId="0" applyNumberFormat="1" applyFont="1" applyFill="1" applyBorder="1" applyAlignment="1" applyProtection="1">
      <alignment horizontal="left" vertical="center" wrapText="1"/>
      <protection/>
    </xf>
    <xf numFmtId="4" fontId="57" fillId="0" borderId="97" xfId="0" applyNumberFormat="1" applyFont="1" applyFill="1" applyBorder="1" applyAlignment="1">
      <alignment horizontal="right" vertical="center"/>
    </xf>
    <xf numFmtId="10" fontId="57" fillId="0" borderId="97" xfId="0" applyNumberFormat="1" applyFont="1" applyFill="1" applyBorder="1" applyAlignment="1">
      <alignment horizontal="right" vertical="center"/>
    </xf>
    <xf numFmtId="10" fontId="57" fillId="0" borderId="98" xfId="0" applyNumberFormat="1" applyFont="1" applyFill="1" applyBorder="1" applyAlignment="1">
      <alignment horizontal="right" vertical="center"/>
    </xf>
    <xf numFmtId="168" fontId="57" fillId="0" borderId="34" xfId="0" applyNumberFormat="1" applyFont="1" applyFill="1" applyBorder="1" applyAlignment="1" applyProtection="1">
      <alignment horizontal="left" vertical="center"/>
      <protection/>
    </xf>
    <xf numFmtId="4" fontId="57" fillId="0" borderId="78" xfId="0" applyNumberFormat="1" applyFont="1" applyFill="1" applyBorder="1" applyAlignment="1">
      <alignment vertical="center"/>
    </xf>
    <xf numFmtId="4" fontId="57" fillId="0" borderId="53" xfId="0" applyNumberFormat="1" applyFont="1" applyFill="1" applyBorder="1" applyAlignment="1">
      <alignment vertical="center"/>
    </xf>
    <xf numFmtId="10" fontId="57" fillId="0" borderId="78" xfId="0" applyNumberFormat="1" applyFont="1" applyFill="1" applyBorder="1" applyAlignment="1">
      <alignment vertical="center"/>
    </xf>
    <xf numFmtId="168" fontId="57" fillId="0" borderId="0" xfId="0" applyNumberFormat="1" applyFont="1" applyFill="1" applyAlignment="1">
      <alignment vertical="center"/>
    </xf>
    <xf numFmtId="0" fontId="57" fillId="0" borderId="0" xfId="0" applyFont="1" applyFill="1" applyAlignment="1">
      <alignment vertical="center"/>
    </xf>
    <xf numFmtId="168" fontId="57" fillId="0" borderId="0" xfId="0" applyNumberFormat="1" applyFont="1" applyFill="1" applyBorder="1" applyAlignment="1" applyProtection="1">
      <alignment/>
      <protection/>
    </xf>
    <xf numFmtId="4" fontId="57" fillId="0" borderId="0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Alignment="1">
      <alignment vertical="center"/>
    </xf>
    <xf numFmtId="168" fontId="57" fillId="0" borderId="99" xfId="0" applyNumberFormat="1" applyFont="1" applyFill="1" applyBorder="1" applyAlignment="1" applyProtection="1">
      <alignment horizontal="left" vertical="center"/>
      <protection/>
    </xf>
    <xf numFmtId="168" fontId="58" fillId="0" borderId="0" xfId="0" applyNumberFormat="1" applyFont="1" applyFill="1" applyAlignment="1">
      <alignment horizontal="center" vertical="center"/>
    </xf>
    <xf numFmtId="168" fontId="57" fillId="0" borderId="87" xfId="0" applyNumberFormat="1" applyFont="1" applyFill="1" applyBorder="1" applyAlignment="1" applyProtection="1">
      <alignment horizontal="center" vertical="center"/>
      <protection/>
    </xf>
    <xf numFmtId="4" fontId="58" fillId="0" borderId="88" xfId="0" applyNumberFormat="1" applyFont="1" applyFill="1" applyBorder="1" applyAlignment="1">
      <alignment horizontal="right" vertical="center"/>
    </xf>
    <xf numFmtId="4" fontId="58" fillId="0" borderId="0" xfId="0" applyNumberFormat="1" applyFont="1" applyFill="1" applyAlignment="1">
      <alignment vertical="center"/>
    </xf>
    <xf numFmtId="168" fontId="57" fillId="0" borderId="0" xfId="0" applyNumberFormat="1" applyFont="1" applyFill="1" applyAlignment="1">
      <alignment horizontal="center" vertical="center"/>
    </xf>
    <xf numFmtId="4" fontId="57" fillId="0" borderId="0" xfId="0" applyNumberFormat="1" applyFont="1" applyFill="1" applyBorder="1" applyAlignment="1">
      <alignment horizontal="center" vertical="center"/>
    </xf>
    <xf numFmtId="168" fontId="57" fillId="0" borderId="0" xfId="0" applyNumberFormat="1" applyFont="1" applyFill="1" applyBorder="1" applyAlignment="1" applyProtection="1">
      <alignment horizontal="centerContinuous" vertical="center"/>
      <protection/>
    </xf>
    <xf numFmtId="4" fontId="57" fillId="0" borderId="0" xfId="0" applyNumberFormat="1" applyFont="1" applyFill="1" applyAlignment="1">
      <alignment horizontal="center" vertical="center"/>
    </xf>
    <xf numFmtId="4" fontId="57" fillId="0" borderId="63" xfId="0" applyNumberFormat="1" applyFont="1" applyFill="1" applyBorder="1" applyAlignment="1">
      <alignment horizontal="right" vertical="center"/>
    </xf>
    <xf numFmtId="0" fontId="58" fillId="0" borderId="0" xfId="0" applyFont="1" applyFill="1" applyAlignment="1">
      <alignment horizontal="centerContinuous" vertical="center"/>
    </xf>
    <xf numFmtId="4" fontId="58" fillId="0" borderId="0" xfId="0" applyNumberFormat="1" applyFont="1" applyFill="1" applyAlignment="1">
      <alignment horizontal="centerContinuous" vertical="center"/>
    </xf>
    <xf numFmtId="0" fontId="57" fillId="0" borderId="0" xfId="0" applyFont="1" applyFill="1" applyBorder="1" applyAlignment="1" applyProtection="1">
      <alignment horizontal="center" vertical="center"/>
      <protection/>
    </xf>
    <xf numFmtId="10" fontId="57" fillId="0" borderId="48" xfId="0" applyNumberFormat="1" applyFont="1" applyFill="1" applyBorder="1" applyAlignment="1" applyProtection="1">
      <alignment horizontal="center" vertical="center" wrapText="1"/>
      <protection/>
    </xf>
    <xf numFmtId="10" fontId="57" fillId="0" borderId="95" xfId="0" applyNumberFormat="1" applyFont="1" applyFill="1" applyBorder="1" applyAlignment="1" applyProtection="1">
      <alignment horizontal="center" vertical="center" wrapText="1"/>
      <protection/>
    </xf>
    <xf numFmtId="0" fontId="57" fillId="0" borderId="92" xfId="0" applyFont="1" applyFill="1" applyBorder="1" applyAlignment="1" applyProtection="1">
      <alignment horizontal="center" vertical="center" wrapText="1"/>
      <protection/>
    </xf>
    <xf numFmtId="0" fontId="57" fillId="0" borderId="81" xfId="0" applyFont="1" applyFill="1" applyBorder="1" applyAlignment="1" applyProtection="1">
      <alignment horizontal="center" vertical="center" wrapText="1"/>
      <protection/>
    </xf>
    <xf numFmtId="49" fontId="57" fillId="0" borderId="81" xfId="0" applyNumberFormat="1" applyFont="1" applyFill="1" applyBorder="1" applyAlignment="1" applyProtection="1">
      <alignment horizontal="center" vertical="center" wrapText="1"/>
      <protection/>
    </xf>
    <xf numFmtId="49" fontId="57" fillId="0" borderId="90" xfId="0" applyNumberFormat="1" applyFont="1" applyFill="1" applyBorder="1" applyAlignment="1" applyProtection="1">
      <alignment horizontal="center" vertical="center" wrapText="1"/>
      <protection/>
    </xf>
    <xf numFmtId="0" fontId="57" fillId="0" borderId="92" xfId="0" applyFont="1" applyFill="1" applyBorder="1" applyAlignment="1" applyProtection="1">
      <alignment horizontal="left" vertical="center"/>
      <protection/>
    </xf>
    <xf numFmtId="4" fontId="57" fillId="0" borderId="18" xfId="0" applyNumberFormat="1" applyFont="1" applyFill="1" applyBorder="1" applyAlignment="1" applyProtection="1" quotePrefix="1">
      <alignment horizontal="right" vertical="center"/>
      <protection/>
    </xf>
    <xf numFmtId="49" fontId="57" fillId="0" borderId="18" xfId="0" applyNumberFormat="1" applyFont="1" applyFill="1" applyBorder="1" applyAlignment="1" applyProtection="1">
      <alignment horizontal="right" vertical="center"/>
      <protection/>
    </xf>
    <xf numFmtId="10" fontId="57" fillId="0" borderId="41" xfId="0" applyNumberFormat="1" applyFont="1" applyFill="1" applyBorder="1" applyAlignment="1" applyProtection="1">
      <alignment horizontal="right" vertical="center"/>
      <protection/>
    </xf>
    <xf numFmtId="10" fontId="57" fillId="0" borderId="94" xfId="0" applyNumberFormat="1" applyFont="1" applyFill="1" applyBorder="1" applyAlignment="1" applyProtection="1">
      <alignment horizontal="right" vertical="center"/>
      <protection/>
    </xf>
    <xf numFmtId="4" fontId="58" fillId="0" borderId="42" xfId="0" applyNumberFormat="1" applyFont="1" applyFill="1" applyBorder="1" applyAlignment="1" applyProtection="1" quotePrefix="1">
      <alignment horizontal="right" vertical="center"/>
      <protection/>
    </xf>
    <xf numFmtId="10" fontId="57" fillId="0" borderId="18" xfId="0" applyNumberFormat="1" applyFont="1" applyFill="1" applyBorder="1" applyAlignment="1" applyProtection="1" quotePrefix="1">
      <alignment horizontal="right" vertical="center"/>
      <protection/>
    </xf>
    <xf numFmtId="10" fontId="57" fillId="0" borderId="41" xfId="0" applyNumberFormat="1" applyFont="1" applyFill="1" applyBorder="1" applyAlignment="1" applyProtection="1" quotePrefix="1">
      <alignment horizontal="right" vertical="center"/>
      <protection/>
    </xf>
    <xf numFmtId="10" fontId="57" fillId="0" borderId="94" xfId="0" applyNumberFormat="1" applyFont="1" applyFill="1" applyBorder="1" applyAlignment="1" applyProtection="1" quotePrefix="1">
      <alignment horizontal="right" vertical="center"/>
      <protection/>
    </xf>
    <xf numFmtId="4" fontId="57" fillId="0" borderId="81" xfId="0" applyNumberFormat="1" applyFont="1" applyFill="1" applyBorder="1" applyAlignment="1" applyProtection="1" quotePrefix="1">
      <alignment horizontal="right" vertical="center"/>
      <protection/>
    </xf>
    <xf numFmtId="10" fontId="58" fillId="0" borderId="41" xfId="0" applyNumberFormat="1" applyFont="1" applyFill="1" applyBorder="1" applyAlignment="1">
      <alignment horizontal="right" vertical="center"/>
    </xf>
    <xf numFmtId="10" fontId="58" fillId="0" borderId="94" xfId="0" applyNumberFormat="1" applyFont="1" applyFill="1" applyBorder="1" applyAlignment="1">
      <alignment horizontal="right" vertical="center"/>
    </xf>
    <xf numFmtId="168" fontId="57" fillId="0" borderId="100" xfId="0" applyNumberFormat="1" applyFont="1" applyFill="1" applyBorder="1" applyAlignment="1" applyProtection="1">
      <alignment vertical="center"/>
      <protection/>
    </xf>
    <xf numFmtId="4" fontId="58" fillId="0" borderId="41" xfId="0" applyNumberFormat="1" applyFont="1" applyFill="1" applyBorder="1" applyAlignment="1">
      <alignment horizontal="right" vertical="center"/>
    </xf>
    <xf numFmtId="4" fontId="57" fillId="0" borderId="41" xfId="0" applyNumberFormat="1" applyFont="1" applyFill="1" applyBorder="1" applyAlignment="1">
      <alignment horizontal="right" vertical="center"/>
    </xf>
    <xf numFmtId="10" fontId="57" fillId="0" borderId="41" xfId="0" applyNumberFormat="1" applyFont="1" applyFill="1" applyBorder="1" applyAlignment="1">
      <alignment horizontal="right" vertical="center"/>
    </xf>
    <xf numFmtId="0" fontId="57" fillId="0" borderId="89" xfId="0" applyFont="1" applyFill="1" applyBorder="1" applyAlignment="1">
      <alignment horizontal="left" vertical="center"/>
    </xf>
    <xf numFmtId="4" fontId="58" fillId="0" borderId="89" xfId="0" applyNumberFormat="1" applyFont="1" applyFill="1" applyBorder="1" applyAlignment="1" applyProtection="1">
      <alignment horizontal="left" vertical="center" indent="1"/>
      <protection/>
    </xf>
    <xf numFmtId="168" fontId="57" fillId="0" borderId="0" xfId="0" applyNumberFormat="1" applyFont="1" applyFill="1" applyBorder="1" applyAlignment="1">
      <alignment vertical="center"/>
    </xf>
    <xf numFmtId="168" fontId="57" fillId="0" borderId="0" xfId="0" applyNumberFormat="1" applyFont="1" applyFill="1" applyBorder="1" applyAlignment="1">
      <alignment horizontal="center" vertical="center"/>
    </xf>
    <xf numFmtId="4" fontId="58" fillId="0" borderId="81" xfId="0" applyNumberFormat="1" applyFont="1" applyFill="1" applyBorder="1" applyAlignment="1">
      <alignment horizontal="right" vertical="center"/>
    </xf>
    <xf numFmtId="10" fontId="58" fillId="0" borderId="80" xfId="0" applyNumberFormat="1" applyFont="1" applyFill="1" applyBorder="1" applyAlignment="1">
      <alignment horizontal="right" vertical="center"/>
    </xf>
    <xf numFmtId="4" fontId="58" fillId="0" borderId="97" xfId="0" applyNumberFormat="1" applyFont="1" applyFill="1" applyBorder="1" applyAlignment="1">
      <alignment horizontal="right" vertical="center"/>
    </xf>
    <xf numFmtId="10" fontId="58" fillId="0" borderId="101" xfId="0" applyNumberFormat="1" applyFont="1" applyFill="1" applyBorder="1" applyAlignment="1">
      <alignment horizontal="right" vertical="center"/>
    </xf>
    <xf numFmtId="4" fontId="57" fillId="0" borderId="97" xfId="0" applyNumberFormat="1" applyFont="1" applyFill="1" applyBorder="1" applyAlignment="1" applyProtection="1">
      <alignment horizontal="right" vertical="center"/>
      <protection/>
    </xf>
    <xf numFmtId="10" fontId="57" fillId="0" borderId="97" xfId="0" applyNumberFormat="1" applyFont="1" applyFill="1" applyBorder="1" applyAlignment="1" applyProtection="1">
      <alignment horizontal="right" vertical="center"/>
      <protection/>
    </xf>
    <xf numFmtId="4" fontId="57" fillId="0" borderId="78" xfId="0" applyNumberFormat="1" applyFont="1" applyFill="1" applyBorder="1" applyAlignment="1">
      <alignment horizontal="right" vertical="center"/>
    </xf>
    <xf numFmtId="10" fontId="57" fillId="0" borderId="79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Border="1" applyAlignment="1" applyProtection="1">
      <alignment horizontal="right" vertical="center"/>
      <protection/>
    </xf>
    <xf numFmtId="4" fontId="57" fillId="0" borderId="22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Alignment="1">
      <alignment horizontal="right" vertical="center"/>
    </xf>
    <xf numFmtId="10" fontId="57" fillId="0" borderId="35" xfId="0" applyNumberFormat="1" applyFont="1" applyFill="1" applyBorder="1" applyAlignment="1">
      <alignment horizontal="right" vertical="center"/>
    </xf>
    <xf numFmtId="0" fontId="58" fillId="0" borderId="88" xfId="0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 applyProtection="1">
      <alignment horizontal="right" vertical="center"/>
      <protection/>
    </xf>
    <xf numFmtId="0" fontId="57" fillId="0" borderId="0" xfId="0" applyFont="1" applyFill="1" applyAlignment="1" applyProtection="1">
      <alignment horizontal="centerContinuous" vertical="center"/>
      <protection/>
    </xf>
    <xf numFmtId="4" fontId="57" fillId="0" borderId="0" xfId="0" applyNumberFormat="1" applyFont="1" applyFill="1" applyBorder="1" applyAlignment="1">
      <alignment horizontal="centerContinuous" vertical="center"/>
    </xf>
    <xf numFmtId="4" fontId="57" fillId="0" borderId="0" xfId="0" applyNumberFormat="1" applyFont="1" applyFill="1" applyBorder="1" applyAlignment="1" applyProtection="1">
      <alignment horizontal="centerContinuous" vertical="center"/>
      <protection/>
    </xf>
    <xf numFmtId="4" fontId="57" fillId="0" borderId="0" xfId="0" applyNumberFormat="1" applyFont="1" applyFill="1" applyBorder="1" applyAlignment="1" applyProtection="1">
      <alignment horizontal="center" vertical="center"/>
      <protection/>
    </xf>
    <xf numFmtId="10" fontId="57" fillId="0" borderId="90" xfId="0" applyNumberFormat="1" applyFont="1" applyFill="1" applyBorder="1" applyAlignment="1" applyProtection="1">
      <alignment horizontal="right" vertical="center"/>
      <protection/>
    </xf>
    <xf numFmtId="10" fontId="58" fillId="0" borderId="81" xfId="0" applyNumberFormat="1" applyFont="1" applyFill="1" applyBorder="1" applyAlignment="1" applyProtection="1" quotePrefix="1">
      <alignment horizontal="right" vertical="center"/>
      <protection/>
    </xf>
    <xf numFmtId="10" fontId="58" fillId="0" borderId="90" xfId="0" applyNumberFormat="1" applyFont="1" applyFill="1" applyBorder="1" applyAlignment="1" applyProtection="1">
      <alignment horizontal="right" vertical="center"/>
      <protection/>
    </xf>
    <xf numFmtId="168" fontId="57" fillId="0" borderId="89" xfId="0" applyNumberFormat="1" applyFont="1" applyFill="1" applyBorder="1" applyAlignment="1" applyProtection="1">
      <alignment horizontal="center" vertical="center"/>
      <protection/>
    </xf>
    <xf numFmtId="171" fontId="58" fillId="0" borderId="0" xfId="0" applyNumberFormat="1" applyFont="1" applyFill="1" applyAlignment="1">
      <alignment vertical="center"/>
    </xf>
    <xf numFmtId="0" fontId="57" fillId="0" borderId="89" xfId="0" applyFont="1" applyFill="1" applyBorder="1" applyAlignment="1">
      <alignment vertical="center"/>
    </xf>
    <xf numFmtId="168" fontId="58" fillId="0" borderId="89" xfId="0" applyNumberFormat="1" applyFont="1" applyFill="1" applyBorder="1" applyAlignment="1" applyProtection="1">
      <alignment horizontal="left" vertical="center" indent="2"/>
      <protection/>
    </xf>
    <xf numFmtId="168" fontId="58" fillId="0" borderId="89" xfId="0" applyNumberFormat="1" applyFont="1" applyFill="1" applyBorder="1" applyAlignment="1" applyProtection="1">
      <alignment horizontal="left" vertical="center" indent="3"/>
      <protection/>
    </xf>
    <xf numFmtId="4" fontId="58" fillId="0" borderId="40" xfId="0" applyNumberFormat="1" applyFont="1" applyFill="1" applyBorder="1" applyAlignment="1">
      <alignment horizontal="right" vertical="center"/>
    </xf>
    <xf numFmtId="4" fontId="57" fillId="0" borderId="18" xfId="0" applyNumberFormat="1" applyFont="1" applyFill="1" applyBorder="1" applyAlignment="1">
      <alignment horizontal="right"/>
    </xf>
    <xf numFmtId="10" fontId="57" fillId="0" borderId="18" xfId="0" applyNumberFormat="1" applyFont="1" applyFill="1" applyBorder="1" applyAlignment="1">
      <alignment horizontal="right"/>
    </xf>
    <xf numFmtId="10" fontId="57" fillId="0" borderId="94" xfId="0" applyNumberFormat="1" applyFont="1" applyFill="1" applyBorder="1" applyAlignment="1">
      <alignment horizontal="right"/>
    </xf>
    <xf numFmtId="10" fontId="58" fillId="0" borderId="81" xfId="0" applyNumberFormat="1" applyFont="1" applyFill="1" applyBorder="1" applyAlignment="1">
      <alignment horizontal="right" vertical="center"/>
    </xf>
    <xf numFmtId="10" fontId="58" fillId="0" borderId="97" xfId="0" applyNumberFormat="1" applyFont="1" applyFill="1" applyBorder="1" applyAlignment="1">
      <alignment horizontal="right" vertical="center"/>
    </xf>
    <xf numFmtId="10" fontId="57" fillId="0" borderId="78" xfId="0" applyNumberFormat="1" applyFont="1" applyFill="1" applyBorder="1" applyAlignment="1">
      <alignment horizontal="right" vertical="center"/>
    </xf>
    <xf numFmtId="10" fontId="57" fillId="0" borderId="0" xfId="0" applyNumberFormat="1" applyFont="1" applyFill="1" applyBorder="1" applyAlignment="1">
      <alignment horizontal="right" vertical="center"/>
    </xf>
    <xf numFmtId="168" fontId="57" fillId="0" borderId="99" xfId="0" applyNumberFormat="1" applyFont="1" applyFill="1" applyBorder="1" applyAlignment="1" applyProtection="1">
      <alignment horizontal="center" vertical="center"/>
      <protection/>
    </xf>
    <xf numFmtId="168" fontId="57" fillId="0" borderId="0" xfId="0" applyNumberFormat="1" applyFont="1" applyFill="1" applyBorder="1" applyAlignment="1" applyProtection="1">
      <alignment horizontal="right" vertical="center"/>
      <protection/>
    </xf>
    <xf numFmtId="168" fontId="58" fillId="0" borderId="0" xfId="0" applyNumberFormat="1" applyFont="1" applyFill="1" applyBorder="1" applyAlignment="1" applyProtection="1">
      <alignment vertical="center"/>
      <protection/>
    </xf>
    <xf numFmtId="10" fontId="58" fillId="0" borderId="0" xfId="0" applyNumberFormat="1" applyFont="1" applyFill="1" applyBorder="1" applyAlignment="1">
      <alignment horizontal="right" vertical="center"/>
    </xf>
    <xf numFmtId="168" fontId="57" fillId="0" borderId="79" xfId="0" applyNumberFormat="1" applyFont="1" applyFill="1" applyBorder="1" applyAlignment="1" applyProtection="1">
      <alignment horizontal="right" vertical="center"/>
      <protection/>
    </xf>
    <xf numFmtId="0" fontId="58" fillId="0" borderId="102" xfId="0" applyFont="1" applyFill="1" applyBorder="1" applyAlignment="1">
      <alignment horizontal="right" vertical="center"/>
    </xf>
    <xf numFmtId="168" fontId="57" fillId="0" borderId="0" xfId="0" applyNumberFormat="1" applyFont="1" applyFill="1" applyBorder="1" applyAlignment="1" applyProtection="1">
      <alignment horizontal="center" vertical="center"/>
      <protection/>
    </xf>
    <xf numFmtId="10" fontId="57" fillId="0" borderId="22" xfId="0" applyNumberFormat="1" applyFont="1" applyFill="1" applyBorder="1" applyAlignment="1">
      <alignment horizontal="right" vertical="center"/>
    </xf>
    <xf numFmtId="10" fontId="57" fillId="0" borderId="23" xfId="0" applyNumberFormat="1" applyFont="1" applyFill="1" applyBorder="1" applyAlignment="1">
      <alignment horizontal="right" vertical="center"/>
    </xf>
    <xf numFmtId="4" fontId="58" fillId="0" borderId="0" xfId="0" applyNumberFormat="1" applyFont="1" applyFill="1" applyBorder="1" applyAlignment="1">
      <alignment horizontal="right" vertical="center"/>
    </xf>
    <xf numFmtId="0" fontId="58" fillId="0" borderId="94" xfId="0" applyFont="1" applyFill="1" applyBorder="1" applyAlignment="1">
      <alignment horizontal="right" vertical="center"/>
    </xf>
    <xf numFmtId="168" fontId="57" fillId="0" borderId="93" xfId="0" applyNumberFormat="1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4" fontId="58" fillId="0" borderId="0" xfId="0" applyNumberFormat="1" applyFont="1" applyFill="1" applyAlignment="1">
      <alignment horizontal="right" vertical="center"/>
    </xf>
    <xf numFmtId="10" fontId="58" fillId="0" borderId="0" xfId="0" applyNumberFormat="1" applyFont="1" applyFill="1" applyAlignment="1">
      <alignment horizontal="right" vertical="center"/>
    </xf>
    <xf numFmtId="10" fontId="57" fillId="0" borderId="57" xfId="0" applyNumberFormat="1" applyFont="1" applyFill="1" applyBorder="1" applyAlignment="1">
      <alignment horizontal="right" vertical="center"/>
    </xf>
    <xf numFmtId="4" fontId="57" fillId="0" borderId="35" xfId="0" applyNumberFormat="1" applyFont="1" applyFill="1" applyBorder="1" applyAlignment="1">
      <alignment horizontal="right" vertical="center"/>
    </xf>
    <xf numFmtId="4" fontId="57" fillId="0" borderId="36" xfId="0" applyNumberFormat="1" applyFont="1" applyFill="1" applyBorder="1" applyAlignment="1">
      <alignment horizontal="right" vertical="center"/>
    </xf>
    <xf numFmtId="0" fontId="58" fillId="0" borderId="19" xfId="0" applyFont="1" applyFill="1" applyBorder="1" applyAlignment="1">
      <alignment horizontal="centerContinuous" vertical="center"/>
    </xf>
    <xf numFmtId="4" fontId="57" fillId="0" borderId="53" xfId="0" applyNumberFormat="1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right" vertical="center"/>
    </xf>
    <xf numFmtId="4" fontId="57" fillId="0" borderId="57" xfId="0" applyNumberFormat="1" applyFont="1" applyFill="1" applyBorder="1" applyAlignment="1">
      <alignment horizontal="right" vertical="center"/>
    </xf>
    <xf numFmtId="168" fontId="57" fillId="0" borderId="99" xfId="0" applyNumberFormat="1" applyFont="1" applyFill="1" applyBorder="1" applyAlignment="1" applyProtection="1">
      <alignment horizontal="left" vertical="center" wrapText="1"/>
      <protection/>
    </xf>
    <xf numFmtId="0" fontId="58" fillId="0" borderId="0" xfId="0" applyFont="1" applyFill="1" applyAlignment="1">
      <alignment horizontal="center" vertical="center"/>
    </xf>
    <xf numFmtId="168" fontId="57" fillId="0" borderId="22" xfId="0" applyNumberFormat="1" applyFont="1" applyFill="1" applyBorder="1" applyAlignment="1" applyProtection="1">
      <alignment horizontal="left" vertical="center"/>
      <protection/>
    </xf>
    <xf numFmtId="10" fontId="58" fillId="0" borderId="0" xfId="0" applyNumberFormat="1" applyFont="1" applyFill="1" applyAlignment="1">
      <alignment horizontal="left" vertical="center"/>
    </xf>
    <xf numFmtId="4" fontId="58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Continuous" vertical="center"/>
    </xf>
    <xf numFmtId="4" fontId="57" fillId="0" borderId="42" xfId="0" applyNumberFormat="1" applyFont="1" applyFill="1" applyBorder="1" applyAlignment="1" applyProtection="1" quotePrefix="1">
      <alignment vertical="center"/>
      <protection/>
    </xf>
    <xf numFmtId="10" fontId="57" fillId="0" borderId="42" xfId="0" applyNumberFormat="1" applyFont="1" applyFill="1" applyBorder="1" applyAlignment="1" applyProtection="1">
      <alignment vertical="center"/>
      <protection/>
    </xf>
    <xf numFmtId="10" fontId="57" fillId="0" borderId="81" xfId="0" applyNumberFormat="1" applyFont="1" applyFill="1" applyBorder="1" applyAlignment="1" applyProtection="1">
      <alignment vertical="center"/>
      <protection/>
    </xf>
    <xf numFmtId="4" fontId="57" fillId="0" borderId="42" xfId="0" applyNumberFormat="1" applyFont="1" applyFill="1" applyBorder="1" applyAlignment="1" applyProtection="1">
      <alignment vertical="center"/>
      <protection/>
    </xf>
    <xf numFmtId="10" fontId="57" fillId="0" borderId="90" xfId="0" applyNumberFormat="1" applyFont="1" applyFill="1" applyBorder="1" applyAlignment="1" applyProtection="1">
      <alignment vertical="center"/>
      <protection/>
    </xf>
    <xf numFmtId="4" fontId="58" fillId="0" borderId="81" xfId="0" applyNumberFormat="1" applyFont="1" applyFill="1" applyBorder="1" applyAlignment="1" applyProtection="1" quotePrefix="1">
      <alignment vertical="center"/>
      <protection/>
    </xf>
    <xf numFmtId="10" fontId="58" fillId="0" borderId="81" xfId="0" applyNumberFormat="1" applyFont="1" applyFill="1" applyBorder="1" applyAlignment="1" applyProtection="1" quotePrefix="1">
      <alignment vertical="center"/>
      <protection/>
    </xf>
    <xf numFmtId="10" fontId="58" fillId="0" borderId="81" xfId="0" applyNumberFormat="1" applyFont="1" applyFill="1" applyBorder="1" applyAlignment="1" applyProtection="1">
      <alignment vertical="center"/>
      <protection/>
    </xf>
    <xf numFmtId="10" fontId="58" fillId="0" borderId="90" xfId="0" applyNumberFormat="1" applyFont="1" applyFill="1" applyBorder="1" applyAlignment="1" applyProtection="1">
      <alignment vertical="center"/>
      <protection/>
    </xf>
    <xf numFmtId="4" fontId="57" fillId="0" borderId="81" xfId="0" applyNumberFormat="1" applyFont="1" applyFill="1" applyBorder="1" applyAlignment="1" applyProtection="1">
      <alignment vertical="center"/>
      <protection/>
    </xf>
    <xf numFmtId="10" fontId="57" fillId="0" borderId="94" xfId="0" applyNumberFormat="1" applyFont="1" applyFill="1" applyBorder="1" applyAlignment="1">
      <alignment vertical="center"/>
    </xf>
    <xf numFmtId="170" fontId="57" fillId="0" borderId="18" xfId="0" applyNumberFormat="1" applyFont="1" applyFill="1" applyBorder="1" applyAlignment="1">
      <alignment vertical="center"/>
    </xf>
    <xf numFmtId="172" fontId="58" fillId="0" borderId="0" xfId="0" applyNumberFormat="1" applyFont="1" applyFill="1" applyAlignment="1">
      <alignment vertical="center"/>
    </xf>
    <xf numFmtId="10" fontId="57" fillId="0" borderId="18" xfId="0" applyNumberFormat="1" applyFont="1" applyFill="1" applyBorder="1" applyAlignment="1">
      <alignment/>
    </xf>
    <xf numFmtId="10" fontId="57" fillId="0" borderId="94" xfId="0" applyNumberFormat="1" applyFont="1" applyFill="1" applyBorder="1" applyAlignment="1">
      <alignment/>
    </xf>
    <xf numFmtId="0" fontId="58" fillId="0" borderId="18" xfId="0" applyFont="1" applyFill="1" applyBorder="1" applyAlignment="1">
      <alignment vertical="center"/>
    </xf>
    <xf numFmtId="4" fontId="57" fillId="0" borderId="0" xfId="0" applyNumberFormat="1" applyFont="1" applyFill="1" applyBorder="1" applyAlignment="1">
      <alignment vertical="center"/>
    </xf>
    <xf numFmtId="167" fontId="58" fillId="0" borderId="0" xfId="62" applyFont="1" applyFill="1" applyAlignment="1">
      <alignment vertical="center"/>
    </xf>
    <xf numFmtId="4" fontId="58" fillId="0" borderId="40" xfId="0" applyNumberFormat="1" applyFont="1" applyFill="1" applyBorder="1" applyAlignment="1">
      <alignment vertical="center"/>
    </xf>
    <xf numFmtId="4" fontId="57" fillId="0" borderId="40" xfId="0" applyNumberFormat="1" applyFont="1" applyFill="1" applyBorder="1" applyAlignment="1">
      <alignment vertical="center"/>
    </xf>
    <xf numFmtId="168" fontId="58" fillId="0" borderId="19" xfId="0" applyNumberFormat="1" applyFont="1" applyFill="1" applyBorder="1" applyAlignment="1" applyProtection="1">
      <alignment vertical="center"/>
      <protection/>
    </xf>
    <xf numFmtId="10" fontId="58" fillId="0" borderId="41" xfId="0" applyNumberFormat="1" applyFont="1" applyFill="1" applyBorder="1" applyAlignment="1">
      <alignment vertical="center"/>
    </xf>
    <xf numFmtId="4" fontId="58" fillId="0" borderId="63" xfId="0" applyNumberFormat="1" applyFont="1" applyFill="1" applyBorder="1" applyAlignment="1">
      <alignment vertical="center"/>
    </xf>
    <xf numFmtId="10" fontId="58" fillId="0" borderId="63" xfId="0" applyNumberFormat="1" applyFont="1" applyFill="1" applyBorder="1" applyAlignment="1">
      <alignment vertical="center"/>
    </xf>
    <xf numFmtId="4" fontId="58" fillId="0" borderId="11" xfId="0" applyNumberFormat="1" applyFont="1" applyFill="1" applyBorder="1" applyAlignment="1">
      <alignment horizontal="right" vertical="center"/>
    </xf>
    <xf numFmtId="10" fontId="58" fillId="0" borderId="11" xfId="0" applyNumberFormat="1" applyFont="1" applyFill="1" applyBorder="1" applyAlignment="1">
      <alignment horizontal="right" vertical="center"/>
    </xf>
    <xf numFmtId="168" fontId="57" fillId="0" borderId="20" xfId="0" applyNumberFormat="1" applyFont="1" applyFill="1" applyBorder="1" applyAlignment="1" applyProtection="1">
      <alignment horizontal="left" vertical="center" wrapText="1"/>
      <protection/>
    </xf>
    <xf numFmtId="4" fontId="57" fillId="0" borderId="78" xfId="0" applyNumberFormat="1" applyFont="1" applyFill="1" applyBorder="1" applyAlignment="1" applyProtection="1">
      <alignment vertical="center"/>
      <protection/>
    </xf>
    <xf numFmtId="10" fontId="57" fillId="0" borderId="78" xfId="0" applyNumberFormat="1" applyFont="1" applyFill="1" applyBorder="1" applyAlignment="1" applyProtection="1">
      <alignment vertical="center"/>
      <protection/>
    </xf>
    <xf numFmtId="10" fontId="57" fillId="0" borderId="79" xfId="0" applyNumberFormat="1" applyFont="1" applyFill="1" applyBorder="1" applyAlignment="1" applyProtection="1">
      <alignment vertical="center"/>
      <protection/>
    </xf>
    <xf numFmtId="10" fontId="57" fillId="0" borderId="57" xfId="0" applyNumberFormat="1" applyFont="1" applyFill="1" applyBorder="1" applyAlignment="1" applyProtection="1">
      <alignment vertical="center"/>
      <protection/>
    </xf>
    <xf numFmtId="4" fontId="57" fillId="0" borderId="0" xfId="0" applyNumberFormat="1" applyFont="1" applyFill="1" applyBorder="1" applyAlignment="1" applyProtection="1">
      <alignment vertical="center"/>
      <protection/>
    </xf>
    <xf numFmtId="10" fontId="57" fillId="0" borderId="0" xfId="0" applyNumberFormat="1" applyFont="1" applyFill="1" applyBorder="1" applyAlignment="1" applyProtection="1">
      <alignment vertical="center"/>
      <protection/>
    </xf>
    <xf numFmtId="10" fontId="57" fillId="0" borderId="22" xfId="0" applyNumberFormat="1" applyFont="1" applyFill="1" applyBorder="1" applyAlignment="1" applyProtection="1">
      <alignment vertical="center"/>
      <protection/>
    </xf>
    <xf numFmtId="10" fontId="57" fillId="0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10" fontId="58" fillId="0" borderId="0" xfId="0" applyNumberFormat="1" applyFont="1" applyFill="1" applyAlignment="1">
      <alignment vertical="center"/>
    </xf>
    <xf numFmtId="167" fontId="58" fillId="0" borderId="0" xfId="62" applyFont="1" applyFill="1" applyAlignment="1">
      <alignment horizontal="centerContinuous" vertical="center"/>
    </xf>
    <xf numFmtId="168" fontId="58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10" fontId="57" fillId="0" borderId="91" xfId="0" applyNumberFormat="1" applyFont="1" applyFill="1" applyBorder="1" applyAlignment="1" applyProtection="1">
      <alignment vertical="center"/>
      <protection/>
    </xf>
    <xf numFmtId="4" fontId="58" fillId="0" borderId="42" xfId="0" applyNumberFormat="1" applyFont="1" applyFill="1" applyBorder="1" applyAlignment="1" applyProtection="1" quotePrefix="1">
      <alignment vertical="center"/>
      <protection/>
    </xf>
    <xf numFmtId="4" fontId="58" fillId="0" borderId="42" xfId="0" applyNumberFormat="1" applyFont="1" applyFill="1" applyBorder="1" applyAlignment="1" applyProtection="1">
      <alignment vertical="center"/>
      <protection/>
    </xf>
    <xf numFmtId="10" fontId="57" fillId="0" borderId="81" xfId="0" applyNumberFormat="1" applyFont="1" applyFill="1" applyBorder="1" applyAlignment="1" applyProtection="1" quotePrefix="1">
      <alignment vertical="center"/>
      <protection/>
    </xf>
    <xf numFmtId="10" fontId="58" fillId="0" borderId="90" xfId="0" applyNumberFormat="1" applyFont="1" applyFill="1" applyBorder="1" applyAlignment="1" applyProtection="1" quotePrefix="1">
      <alignment vertical="center"/>
      <protection/>
    </xf>
    <xf numFmtId="4" fontId="58" fillId="0" borderId="18" xfId="0" applyNumberFormat="1" applyFont="1" applyFill="1" applyBorder="1" applyAlignment="1" applyProtection="1">
      <alignment vertical="center"/>
      <protection/>
    </xf>
    <xf numFmtId="10" fontId="58" fillId="0" borderId="94" xfId="0" applyNumberFormat="1" applyFont="1" applyFill="1" applyBorder="1" applyAlignment="1" applyProtection="1">
      <alignment vertical="center"/>
      <protection/>
    </xf>
    <xf numFmtId="4" fontId="57" fillId="0" borderId="58" xfId="0" applyNumberFormat="1" applyFont="1" applyFill="1" applyBorder="1" applyAlignment="1" applyProtection="1">
      <alignment vertical="center"/>
      <protection/>
    </xf>
    <xf numFmtId="168" fontId="57" fillId="0" borderId="0" xfId="0" applyNumberFormat="1" applyFont="1" applyFill="1" applyBorder="1" applyAlignment="1" applyProtection="1">
      <alignment horizontal="left" vertical="center"/>
      <protection/>
    </xf>
    <xf numFmtId="10" fontId="57" fillId="0" borderId="24" xfId="0" applyNumberFormat="1" applyFont="1" applyFill="1" applyBorder="1" applyAlignment="1">
      <alignment horizontal="right" vertical="center"/>
    </xf>
    <xf numFmtId="168" fontId="57" fillId="0" borderId="99" xfId="0" applyNumberFormat="1" applyFont="1" applyFill="1" applyBorder="1" applyAlignment="1" applyProtection="1">
      <alignment horizontal="center"/>
      <protection/>
    </xf>
    <xf numFmtId="168" fontId="57" fillId="0" borderId="0" xfId="0" applyNumberFormat="1" applyFont="1" applyFill="1" applyBorder="1" applyAlignment="1" applyProtection="1">
      <alignment horizontal="center"/>
      <protection/>
    </xf>
    <xf numFmtId="4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Alignment="1">
      <alignment horizontal="right" vertical="center"/>
    </xf>
    <xf numFmtId="4" fontId="57" fillId="0" borderId="0" xfId="0" applyNumberFormat="1" applyFont="1" applyFill="1" applyBorder="1" applyAlignment="1">
      <alignment horizontal="center"/>
    </xf>
    <xf numFmtId="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center"/>
    </xf>
    <xf numFmtId="10" fontId="57" fillId="0" borderId="0" xfId="0" applyNumberFormat="1" applyFont="1" applyFill="1" applyBorder="1" applyAlignment="1">
      <alignment horizontal="right"/>
    </xf>
    <xf numFmtId="4" fontId="57" fillId="0" borderId="0" xfId="0" applyNumberFormat="1" applyFont="1" applyFill="1" applyBorder="1" applyAlignment="1" applyProtection="1">
      <alignment horizontal="right"/>
      <protection/>
    </xf>
    <xf numFmtId="4" fontId="57" fillId="0" borderId="0" xfId="0" applyNumberFormat="1" applyFont="1" applyFill="1" applyBorder="1" applyAlignment="1" applyProtection="1">
      <alignment horizontal="center"/>
      <protection/>
    </xf>
    <xf numFmtId="168" fontId="57" fillId="0" borderId="0" xfId="0" applyNumberFormat="1" applyFont="1" applyFill="1" applyBorder="1" applyAlignment="1" applyProtection="1">
      <alignment horizontal="right"/>
      <protection/>
    </xf>
    <xf numFmtId="168" fontId="57" fillId="0" borderId="0" xfId="0" applyNumberFormat="1" applyFont="1" applyFill="1" applyBorder="1" applyAlignment="1" applyProtection="1">
      <alignment horizontal="left" indent="15"/>
      <protection/>
    </xf>
    <xf numFmtId="4" fontId="58" fillId="0" borderId="0" xfId="0" applyNumberFormat="1" applyFont="1" applyFill="1" applyBorder="1" applyAlignment="1">
      <alignment horizontal="center" vertical="center"/>
    </xf>
    <xf numFmtId="172" fontId="57" fillId="0" borderId="0" xfId="0" applyNumberFormat="1" applyFont="1" applyFill="1" applyBorder="1" applyAlignment="1" applyProtection="1">
      <alignment horizontal="center" vertical="center"/>
      <protection/>
    </xf>
    <xf numFmtId="169" fontId="57" fillId="0" borderId="0" xfId="0" applyNumberFormat="1" applyFont="1" applyFill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horizontal="centerContinuous" vertical="center"/>
    </xf>
    <xf numFmtId="0" fontId="58" fillId="0" borderId="0" xfId="0" applyFont="1" applyFill="1" applyBorder="1" applyAlignment="1">
      <alignment horizontal="center" vertical="center"/>
    </xf>
    <xf numFmtId="10" fontId="57" fillId="0" borderId="0" xfId="0" applyNumberFormat="1" applyFont="1" applyFill="1" applyBorder="1" applyAlignment="1" applyProtection="1">
      <alignment horizontal="center" vertical="center" wrapText="1"/>
      <protection/>
    </xf>
    <xf numFmtId="10" fontId="57" fillId="0" borderId="0" xfId="0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>
      <alignment horizontal="right" vertical="center"/>
    </xf>
    <xf numFmtId="10" fontId="58" fillId="0" borderId="0" xfId="0" applyNumberFormat="1" applyFont="1" applyFill="1" applyBorder="1" applyAlignment="1" applyProtection="1">
      <alignment vertical="center"/>
      <protection/>
    </xf>
    <xf numFmtId="10" fontId="58" fillId="0" borderId="0" xfId="0" applyNumberFormat="1" applyFont="1" applyFill="1" applyBorder="1" applyAlignment="1" applyProtection="1" quotePrefix="1">
      <alignment vertical="center"/>
      <protection/>
    </xf>
    <xf numFmtId="0" fontId="57" fillId="0" borderId="0" xfId="0" applyFont="1" applyFill="1" applyBorder="1" applyAlignment="1" applyProtection="1">
      <alignment horizontal="right" vertical="center"/>
      <protection/>
    </xf>
    <xf numFmtId="49" fontId="57" fillId="0" borderId="0" xfId="0" applyNumberFormat="1" applyFont="1" applyFill="1" applyBorder="1" applyAlignment="1" applyProtection="1">
      <alignment horizontal="center" vertical="center" wrapText="1"/>
      <protection/>
    </xf>
    <xf numFmtId="10" fontId="57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89" xfId="0" applyFont="1" applyFill="1" applyBorder="1" applyAlignment="1" applyProtection="1">
      <alignment horizontal="left" vertical="center"/>
      <protection/>
    </xf>
    <xf numFmtId="0" fontId="57" fillId="0" borderId="89" xfId="0" applyFont="1" applyFill="1" applyBorder="1" applyAlignment="1" applyProtection="1">
      <alignment horizontal="right" vertical="center"/>
      <protection/>
    </xf>
    <xf numFmtId="168" fontId="58" fillId="0" borderId="89" xfId="0" applyNumberFormat="1" applyFont="1" applyFill="1" applyBorder="1" applyAlignment="1" applyProtection="1">
      <alignment horizontal="right" vertical="center"/>
      <protection/>
    </xf>
    <xf numFmtId="0" fontId="57" fillId="0" borderId="89" xfId="0" applyFont="1" applyFill="1" applyBorder="1" applyAlignment="1" applyProtection="1">
      <alignment horizontal="center" vertical="center"/>
      <protection/>
    </xf>
    <xf numFmtId="168" fontId="57" fillId="0" borderId="89" xfId="0" applyNumberFormat="1" applyFont="1" applyFill="1" applyBorder="1" applyAlignment="1" applyProtection="1">
      <alignment horizontal="left" vertical="center" indent="1"/>
      <protection/>
    </xf>
    <xf numFmtId="168" fontId="57" fillId="0" borderId="89" xfId="0" applyNumberFormat="1" applyFont="1" applyFill="1" applyBorder="1" applyAlignment="1" applyProtection="1">
      <alignment horizontal="left"/>
      <protection/>
    </xf>
    <xf numFmtId="0" fontId="58" fillId="0" borderId="89" xfId="0" applyFont="1" applyFill="1" applyBorder="1" applyAlignment="1">
      <alignment horizontal="right" vertical="center"/>
    </xf>
    <xf numFmtId="168" fontId="58" fillId="0" borderId="89" xfId="0" applyNumberFormat="1" applyFont="1" applyFill="1" applyBorder="1" applyAlignment="1" applyProtection="1">
      <alignment horizontal="left" vertical="center" indent="4"/>
      <protection/>
    </xf>
    <xf numFmtId="168" fontId="57" fillId="0" borderId="96" xfId="0" applyNumberFormat="1" applyFont="1" applyFill="1" applyBorder="1" applyAlignment="1" applyProtection="1">
      <alignment vertical="center"/>
      <protection/>
    </xf>
    <xf numFmtId="0" fontId="57" fillId="0" borderId="89" xfId="0" applyFont="1" applyFill="1" applyBorder="1" applyAlignment="1">
      <alignment horizontal="center" vertical="center"/>
    </xf>
    <xf numFmtId="10" fontId="58" fillId="0" borderId="90" xfId="0" applyNumberFormat="1" applyFont="1" applyFill="1" applyBorder="1" applyAlignment="1">
      <alignment horizontal="right" vertical="center"/>
    </xf>
    <xf numFmtId="10" fontId="58" fillId="0" borderId="98" xfId="0" applyNumberFormat="1" applyFont="1" applyFill="1" applyBorder="1" applyAlignment="1">
      <alignment horizontal="right" vertical="center"/>
    </xf>
    <xf numFmtId="10" fontId="58" fillId="0" borderId="95" xfId="0" applyNumberFormat="1" applyFont="1" applyFill="1" applyBorder="1" applyAlignment="1">
      <alignment horizontal="right" vertical="center"/>
    </xf>
    <xf numFmtId="4" fontId="57" fillId="0" borderId="0" xfId="0" applyNumberFormat="1" applyFont="1" applyFill="1" applyAlignment="1" applyProtection="1">
      <alignment vertical="center"/>
      <protection/>
    </xf>
    <xf numFmtId="4" fontId="57" fillId="0" borderId="88" xfId="0" applyNumberFormat="1" applyFont="1" applyFill="1" applyBorder="1" applyAlignment="1">
      <alignment horizontal="right" vertical="center"/>
    </xf>
    <xf numFmtId="4" fontId="57" fillId="0" borderId="88" xfId="0" applyNumberFormat="1" applyFont="1" applyFill="1" applyBorder="1" applyAlignment="1">
      <alignment vertical="center"/>
    </xf>
    <xf numFmtId="4" fontId="57" fillId="0" borderId="63" xfId="0" applyNumberFormat="1" applyFont="1" applyFill="1" applyBorder="1" applyAlignment="1">
      <alignment vertical="center"/>
    </xf>
    <xf numFmtId="10" fontId="57" fillId="0" borderId="91" xfId="0" applyNumberFormat="1" applyFont="1" applyFill="1" applyBorder="1" applyAlignment="1">
      <alignment vertical="center"/>
    </xf>
    <xf numFmtId="10" fontId="58" fillId="0" borderId="90" xfId="0" applyNumberFormat="1" applyFont="1" applyFill="1" applyBorder="1" applyAlignment="1">
      <alignment vertical="center"/>
    </xf>
    <xf numFmtId="10" fontId="58" fillId="0" borderId="95" xfId="0" applyNumberFormat="1" applyFont="1" applyFill="1" applyBorder="1" applyAlignment="1">
      <alignment vertical="center"/>
    </xf>
    <xf numFmtId="10" fontId="57" fillId="0" borderId="57" xfId="0" applyNumberFormat="1" applyFont="1" applyFill="1" applyBorder="1" applyAlignment="1">
      <alignment vertical="center"/>
    </xf>
    <xf numFmtId="4" fontId="57" fillId="0" borderId="24" xfId="0" applyNumberFormat="1" applyFont="1" applyFill="1" applyBorder="1" applyAlignment="1">
      <alignment horizontal="right" vertical="center"/>
    </xf>
    <xf numFmtId="10" fontId="58" fillId="0" borderId="24" xfId="0" applyNumberFormat="1" applyFont="1" applyFill="1" applyBorder="1" applyAlignment="1">
      <alignment horizontal="right" vertical="center"/>
    </xf>
    <xf numFmtId="10" fontId="57" fillId="0" borderId="103" xfId="0" applyNumberFormat="1" applyFont="1" applyFill="1" applyBorder="1" applyAlignment="1" applyProtection="1">
      <alignment horizontal="center" vertical="center" wrapText="1"/>
      <protection/>
    </xf>
    <xf numFmtId="10" fontId="57" fillId="0" borderId="104" xfId="0" applyNumberFormat="1" applyFont="1" applyFill="1" applyBorder="1" applyAlignment="1" applyProtection="1">
      <alignment horizontal="center" vertical="center" wrapText="1"/>
      <protection/>
    </xf>
    <xf numFmtId="10" fontId="57" fillId="0" borderId="88" xfId="0" applyNumberFormat="1" applyFont="1" applyFill="1" applyBorder="1" applyAlignment="1">
      <alignment horizontal="right" vertical="center"/>
    </xf>
    <xf numFmtId="4" fontId="57" fillId="0" borderId="102" xfId="0" applyNumberFormat="1" applyFont="1" applyFill="1" applyBorder="1" applyAlignment="1">
      <alignment horizontal="right" vertical="center"/>
    </xf>
    <xf numFmtId="168" fontId="57" fillId="0" borderId="89" xfId="0" applyNumberFormat="1" applyFont="1" applyFill="1" applyBorder="1" applyAlignment="1" applyProtection="1">
      <alignment horizontal="left" vertical="center" wrapText="1"/>
      <protection/>
    </xf>
    <xf numFmtId="0" fontId="57" fillId="0" borderId="105" xfId="0" applyFont="1" applyFill="1" applyBorder="1" applyAlignment="1" applyProtection="1">
      <alignment horizontal="left" vertical="center" wrapText="1"/>
      <protection/>
    </xf>
    <xf numFmtId="10" fontId="57" fillId="0" borderId="63" xfId="0" applyNumberFormat="1" applyFont="1" applyFill="1" applyBorder="1" applyAlignment="1">
      <alignment horizontal="right" vertical="center"/>
    </xf>
    <xf numFmtId="10" fontId="57" fillId="0" borderId="106" xfId="0" applyNumberFormat="1" applyFont="1" applyFill="1" applyBorder="1" applyAlignment="1">
      <alignment horizontal="right" vertical="center"/>
    </xf>
    <xf numFmtId="10" fontId="58" fillId="0" borderId="88" xfId="0" applyNumberFormat="1" applyFont="1" applyFill="1" applyBorder="1" applyAlignment="1">
      <alignment horizontal="right" vertical="center"/>
    </xf>
    <xf numFmtId="10" fontId="58" fillId="0" borderId="63" xfId="0" applyNumberFormat="1" applyFont="1" applyFill="1" applyBorder="1" applyAlignment="1">
      <alignment horizontal="right" vertical="center"/>
    </xf>
    <xf numFmtId="168" fontId="57" fillId="0" borderId="87" xfId="0" applyNumberFormat="1" applyFont="1" applyFill="1" applyBorder="1" applyAlignment="1" applyProtection="1">
      <alignment horizontal="left" vertical="center" wrapText="1"/>
      <protection/>
    </xf>
    <xf numFmtId="10" fontId="57" fillId="0" borderId="102" xfId="0" applyNumberFormat="1" applyFont="1" applyFill="1" applyBorder="1" applyAlignment="1">
      <alignment horizontal="right" vertical="center"/>
    </xf>
    <xf numFmtId="10" fontId="57" fillId="0" borderId="88" xfId="0" applyNumberFormat="1" applyFont="1" applyFill="1" applyBorder="1" applyAlignment="1">
      <alignment vertical="center"/>
    </xf>
    <xf numFmtId="10" fontId="57" fillId="0" borderId="102" xfId="0" applyNumberFormat="1" applyFont="1" applyFill="1" applyBorder="1" applyAlignment="1">
      <alignment vertical="center"/>
    </xf>
    <xf numFmtId="10" fontId="57" fillId="0" borderId="63" xfId="0" applyNumberFormat="1" applyFont="1" applyFill="1" applyBorder="1" applyAlignment="1">
      <alignment vertical="center"/>
    </xf>
    <xf numFmtId="10" fontId="57" fillId="0" borderId="106" xfId="0" applyNumberFormat="1" applyFont="1" applyFill="1" applyBorder="1" applyAlignment="1">
      <alignment vertical="center"/>
    </xf>
    <xf numFmtId="4" fontId="57" fillId="0" borderId="102" xfId="0" applyNumberFormat="1" applyFont="1" applyFill="1" applyBorder="1" applyAlignment="1">
      <alignment vertical="center"/>
    </xf>
    <xf numFmtId="4" fontId="57" fillId="0" borderId="78" xfId="0" applyNumberFormat="1" applyFont="1" applyFill="1" applyBorder="1" applyAlignment="1" applyProtection="1">
      <alignment/>
      <protection/>
    </xf>
    <xf numFmtId="10" fontId="57" fillId="0" borderId="78" xfId="0" applyNumberFormat="1" applyFont="1" applyFill="1" applyBorder="1" applyAlignment="1" applyProtection="1">
      <alignment/>
      <protection/>
    </xf>
    <xf numFmtId="10" fontId="57" fillId="0" borderId="57" xfId="0" applyNumberFormat="1" applyFont="1" applyFill="1" applyBorder="1" applyAlignment="1" applyProtection="1">
      <alignment/>
      <protection/>
    </xf>
    <xf numFmtId="4" fontId="57" fillId="0" borderId="78" xfId="0" applyNumberFormat="1" applyFont="1" applyFill="1" applyBorder="1" applyAlignment="1">
      <alignment/>
    </xf>
    <xf numFmtId="10" fontId="57" fillId="0" borderId="78" xfId="0" applyNumberFormat="1" applyFont="1" applyFill="1" applyBorder="1" applyAlignment="1">
      <alignment/>
    </xf>
    <xf numFmtId="10" fontId="57" fillId="0" borderId="57" xfId="0" applyNumberFormat="1" applyFont="1" applyFill="1" applyBorder="1" applyAlignment="1">
      <alignment/>
    </xf>
    <xf numFmtId="168" fontId="60" fillId="0" borderId="89" xfId="0" applyNumberFormat="1" applyFont="1" applyFill="1" applyBorder="1" applyAlignment="1" applyProtection="1">
      <alignment horizontal="left" vertical="center"/>
      <protection/>
    </xf>
    <xf numFmtId="0" fontId="60" fillId="0" borderId="89" xfId="0" applyFont="1" applyFill="1" applyBorder="1" applyAlignment="1">
      <alignment vertical="center"/>
    </xf>
    <xf numFmtId="0" fontId="61" fillId="0" borderId="89" xfId="0" applyFont="1" applyFill="1" applyBorder="1" applyAlignment="1">
      <alignment vertical="center"/>
    </xf>
    <xf numFmtId="168" fontId="61" fillId="0" borderId="89" xfId="0" applyNumberFormat="1" applyFont="1" applyFill="1" applyBorder="1" applyAlignment="1" applyProtection="1">
      <alignment horizontal="left" vertical="center" indent="1"/>
      <protection/>
    </xf>
    <xf numFmtId="168" fontId="61" fillId="0" borderId="89" xfId="0" applyNumberFormat="1" applyFont="1" applyFill="1" applyBorder="1" applyAlignment="1" applyProtection="1">
      <alignment horizontal="left" vertical="center"/>
      <protection/>
    </xf>
    <xf numFmtId="10" fontId="58" fillId="0" borderId="0" xfId="0" applyNumberFormat="1" applyFont="1" applyFill="1" applyBorder="1" applyAlignment="1" applyProtection="1">
      <alignment horizontal="right" vertical="center"/>
      <protection/>
    </xf>
    <xf numFmtId="10" fontId="58" fillId="0" borderId="0" xfId="0" applyNumberFormat="1" applyFont="1" applyFill="1" applyBorder="1" applyAlignment="1">
      <alignment vertical="center"/>
    </xf>
    <xf numFmtId="10" fontId="57" fillId="0" borderId="0" xfId="0" applyNumberFormat="1" applyFont="1" applyFill="1" applyBorder="1" applyAlignment="1">
      <alignment/>
    </xf>
    <xf numFmtId="4" fontId="58" fillId="0" borderId="18" xfId="0" applyNumberFormat="1" applyFont="1" applyFill="1" applyBorder="1" applyAlignment="1" quotePrefix="1">
      <alignment horizontal="right" vertical="center"/>
    </xf>
    <xf numFmtId="168" fontId="57" fillId="0" borderId="89" xfId="0" applyNumberFormat="1" applyFont="1" applyFill="1" applyBorder="1" applyAlignment="1" applyProtection="1">
      <alignment/>
      <protection/>
    </xf>
    <xf numFmtId="10" fontId="57" fillId="0" borderId="0" xfId="0" applyNumberFormat="1" applyFont="1" applyFill="1" applyAlignment="1">
      <alignment vertical="center"/>
    </xf>
    <xf numFmtId="10" fontId="57" fillId="0" borderId="35" xfId="0" applyNumberFormat="1" applyFont="1" applyFill="1" applyBorder="1" applyAlignment="1">
      <alignment vertical="center"/>
    </xf>
    <xf numFmtId="4" fontId="57" fillId="0" borderId="35" xfId="0" applyNumberFormat="1" applyFont="1" applyFill="1" applyBorder="1" applyAlignment="1">
      <alignment vertical="center"/>
    </xf>
    <xf numFmtId="4" fontId="57" fillId="0" borderId="22" xfId="0" applyNumberFormat="1" applyFont="1" applyFill="1" applyBorder="1" applyAlignment="1" applyProtection="1">
      <alignment horizontal="right" vertical="center"/>
      <protection/>
    </xf>
    <xf numFmtId="4" fontId="57" fillId="0" borderId="40" xfId="0" applyNumberFormat="1" applyFont="1" applyFill="1" applyBorder="1" applyAlignment="1" applyProtection="1">
      <alignment horizontal="right" vertical="center"/>
      <protection/>
    </xf>
    <xf numFmtId="168" fontId="57" fillId="0" borderId="32" xfId="0" applyNumberFormat="1" applyFont="1" applyFill="1" applyBorder="1" applyAlignment="1" applyProtection="1">
      <alignment horizontal="right" vertical="center"/>
      <protection/>
    </xf>
    <xf numFmtId="10" fontId="57" fillId="0" borderId="33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/>
    </xf>
    <xf numFmtId="10" fontId="58" fillId="0" borderId="0" xfId="0" applyNumberFormat="1" applyFont="1" applyFill="1" applyBorder="1" applyAlignment="1">
      <alignment/>
    </xf>
    <xf numFmtId="4" fontId="58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 applyProtection="1">
      <alignment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88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 applyProtection="1">
      <alignment horizontal="center" vertical="center" wrapText="1"/>
      <protection/>
    </xf>
    <xf numFmtId="10" fontId="57" fillId="0" borderId="103" xfId="0" applyNumberFormat="1" applyFont="1" applyFill="1" applyBorder="1" applyAlignment="1" applyProtection="1">
      <alignment horizontal="center" vertical="center" wrapText="1"/>
      <protection/>
    </xf>
    <xf numFmtId="10" fontId="57" fillId="0" borderId="104" xfId="0" applyNumberFormat="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7" fillId="0" borderId="22" xfId="0" applyFont="1" applyFill="1" applyBorder="1" applyAlignment="1" applyProtection="1">
      <alignment horizontal="center" vertical="center"/>
      <protection/>
    </xf>
    <xf numFmtId="0" fontId="11" fillId="0" borderId="107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vertical="center" wrapText="1"/>
    </xf>
    <xf numFmtId="0" fontId="0" fillId="0" borderId="81" xfId="0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Followed Hyperlink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Comma [0]" xfId="59"/>
    <cellStyle name="Title" xfId="60"/>
    <cellStyle name="Total" xfId="61"/>
    <cellStyle name="Comma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onta\DConta\NCC\CSS%202011\MAPAS%20da%20LBSS%20e%20LEO%202011\A%20enviar%20para%20a%20DGO\MAPA%20PENS&#213;ES_ASOCIAL_FINAN&#199;AS_CS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onta\DConta\NCC\CSS%202011\MAPAS%20da%20LBSS%20e%20LEO%202011\A%20enviar%20para%20a%20DGO\MAPA%20PENS&#213;ES_ASOCIAL_FINAN&#199;AS_CSS2009_09_06_valores_N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fserv01\Dados\Departamento\DOConta\DConta\NCC\CSS%202011\MAPAS%20da%20LBSS%20e%20LEO%202011\A%20enviar%20para%20a%20DGO\2008_12_31\Subsistema%20Dezembro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PA XXII _Total"/>
      <sheetName val="Saldos"/>
      <sheetName val="2009"/>
      <sheetName val="AS"/>
      <sheetName val="Finanças"/>
      <sheetName val="Pensões-I"/>
      <sheetName val="PENSÕES_NB_FINAL"/>
      <sheetName val="Mapa XI"/>
      <sheetName val="D-Cruzad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"/>
      <sheetName val="Mapa IX Analitico"/>
      <sheetName val="Mapa IX Sintetico"/>
      <sheetName val="Saldos"/>
      <sheetName val="MAPA XXII _Total"/>
      <sheetName val="Acção Social"/>
      <sheetName val="Finanças"/>
      <sheetName val="Pensões"/>
      <sheetName val="Mapa XI"/>
      <sheetName val="D-Cruzada"/>
    </sheetNames>
    <sheetDataSet>
      <sheetData sheetId="1">
        <row r="68">
          <cell r="B68">
            <v>33835343436.039997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9999"/>
      <sheetName val="1001-8888"/>
      <sheetName val="1029"/>
      <sheetName val="2001"/>
      <sheetName val="3001"/>
      <sheetName val="3002"/>
      <sheetName val="3003"/>
      <sheetName val="3004"/>
      <sheetName val="3005"/>
      <sheetName val="3006"/>
      <sheetName val="3007"/>
      <sheetName val="3008"/>
      <sheetName val="3009"/>
      <sheetName val="3010"/>
      <sheetName val="3011"/>
      <sheetName val="3012"/>
      <sheetName val="3013"/>
      <sheetName val="3014"/>
      <sheetName val="4000"/>
      <sheetName val="Consolidado"/>
      <sheetName val="Saldos Globais"/>
      <sheetName val="2008"/>
      <sheetName val="Mapa IX Analitico"/>
      <sheetName val="Mapa IX Sintetico"/>
      <sheetName val="Exec Auxiliar-D"/>
      <sheetName val="Exec Auxiliar-R"/>
      <sheetName val="Administração"/>
      <sheetName val="Exec-Admin_2008"/>
      <sheetName val="Dot-Admin_2008"/>
      <sheetName val="OR Rend"/>
      <sheetName val="AE"/>
      <sheetName val="27-07-Pensões"/>
      <sheetName val="Pensões-I"/>
      <sheetName val="Pensões-ISS"/>
      <sheetName val="SO1"/>
      <sheetName val="SO"/>
      <sheetName val="Decomposição Saldo"/>
      <sheetName val="Cativos"/>
      <sheetName val="AS"/>
      <sheetName val="Cál. Contrib."/>
      <sheetName val="Dot Auxiliar-D"/>
      <sheetName val="Dot-Auxiliar-R"/>
      <sheetName val="R-XIII"/>
      <sheetName val="R-X"/>
      <sheetName val="D-XIV"/>
      <sheetName val="D-XII"/>
      <sheetName val="D-XI"/>
      <sheetName val="R-XIII (2)"/>
      <sheetName val="D-XIV (2)"/>
      <sheetName val="Total"/>
      <sheetName val="TC-d"/>
      <sheetName val="TC-r"/>
      <sheetName val="Exec Auxiliar-R Mensal"/>
      <sheetName val="MIX-Anal. Dr Nuno"/>
      <sheetName val="Controlo_R"/>
      <sheetName val="Controlo_D"/>
      <sheetName val="Despesa"/>
      <sheetName val="Receita"/>
      <sheetName val="Subsistema Dezembro 2008"/>
    </sheetNames>
    <sheetDataSet>
      <sheetData sheetId="22">
        <row r="36">
          <cell r="B36">
            <v>9680204.21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B1:AQ567"/>
  <sheetViews>
    <sheetView showGridLines="0" tabSelected="1" zoomScale="55" zoomScaleNormal="55" workbookViewId="0" topLeftCell="A1">
      <selection activeCell="B3" sqref="B3:H3"/>
    </sheetView>
  </sheetViews>
  <sheetFormatPr defaultColWidth="9.140625" defaultRowHeight="12.75"/>
  <cols>
    <col min="1" max="1" width="4.140625" style="603" customWidth="1"/>
    <col min="2" max="2" width="117.00390625" style="603" customWidth="1"/>
    <col min="3" max="3" width="31.57421875" style="698" customWidth="1"/>
    <col min="4" max="4" width="30.140625" style="698" customWidth="1"/>
    <col min="5" max="5" width="29.7109375" style="698" customWidth="1"/>
    <col min="6" max="6" width="27.28125" style="795" customWidth="1"/>
    <col min="7" max="7" width="29.421875" style="698" customWidth="1"/>
    <col min="8" max="8" width="21.57421875" style="698" customWidth="1"/>
    <col min="9" max="9" width="25.57421875" style="832" customWidth="1"/>
    <col min="10" max="10" width="151.140625" style="603" customWidth="1"/>
    <col min="11" max="11" width="29.00390625" style="698" customWidth="1"/>
    <col min="12" max="13" width="28.7109375" style="698" customWidth="1"/>
    <col min="14" max="14" width="28.00390625" style="795" customWidth="1"/>
    <col min="15" max="15" width="27.28125" style="795" customWidth="1"/>
    <col min="16" max="16" width="29.28125" style="795" customWidth="1"/>
    <col min="17" max="17" width="31.8515625" style="602" bestFit="1" customWidth="1"/>
    <col min="18" max="18" width="17.57421875" style="602" customWidth="1"/>
    <col min="19" max="19" width="19.7109375" style="602" customWidth="1"/>
    <col min="20" max="20" width="18.28125" style="602" customWidth="1"/>
    <col min="21" max="21" width="9.140625" style="602" customWidth="1"/>
    <col min="22" max="22" width="14.140625" style="602" customWidth="1"/>
    <col min="23" max="23" width="12.57421875" style="602" customWidth="1"/>
    <col min="24" max="43" width="9.140625" style="602" customWidth="1"/>
    <col min="44" max="16384" width="9.140625" style="603" customWidth="1"/>
  </cols>
  <sheetData>
    <row r="1" spans="2:16" ht="18.75" customHeight="1">
      <c r="B1" s="941" t="s">
        <v>241</v>
      </c>
      <c r="C1" s="941"/>
      <c r="D1" s="941"/>
      <c r="E1" s="941"/>
      <c r="F1" s="941"/>
      <c r="G1" s="941"/>
      <c r="H1" s="941"/>
      <c r="I1" s="706"/>
      <c r="J1" s="941" t="s">
        <v>241</v>
      </c>
      <c r="K1" s="941"/>
      <c r="L1" s="941"/>
      <c r="M1" s="941"/>
      <c r="N1" s="941"/>
      <c r="O1" s="941"/>
      <c r="P1" s="941"/>
    </row>
    <row r="2" spans="2:16" ht="18.75" customHeight="1">
      <c r="B2" s="941" t="s">
        <v>473</v>
      </c>
      <c r="C2" s="941"/>
      <c r="D2" s="941"/>
      <c r="E2" s="941"/>
      <c r="F2" s="941"/>
      <c r="G2" s="941"/>
      <c r="H2" s="941"/>
      <c r="I2" s="706"/>
      <c r="J2" s="941" t="s">
        <v>473</v>
      </c>
      <c r="K2" s="941"/>
      <c r="L2" s="941"/>
      <c r="M2" s="941"/>
      <c r="N2" s="941"/>
      <c r="O2" s="941"/>
      <c r="P2" s="941"/>
    </row>
    <row r="3" spans="2:16" ht="18.75" customHeight="1">
      <c r="B3" s="941" t="s">
        <v>821</v>
      </c>
      <c r="C3" s="941"/>
      <c r="D3" s="941"/>
      <c r="E3" s="941"/>
      <c r="F3" s="941"/>
      <c r="G3" s="941"/>
      <c r="H3" s="941"/>
      <c r="I3" s="706"/>
      <c r="J3" s="941" t="s">
        <v>821</v>
      </c>
      <c r="K3" s="941"/>
      <c r="L3" s="941"/>
      <c r="M3" s="941"/>
      <c r="N3" s="941"/>
      <c r="O3" s="941"/>
      <c r="P3" s="941"/>
    </row>
    <row r="4" spans="2:16" ht="18.75" customHeight="1">
      <c r="B4" s="941"/>
      <c r="C4" s="941"/>
      <c r="D4" s="941"/>
      <c r="E4" s="941"/>
      <c r="F4" s="941"/>
      <c r="G4" s="941"/>
      <c r="H4" s="941"/>
      <c r="I4" s="706"/>
      <c r="J4" s="941"/>
      <c r="K4" s="941"/>
      <c r="L4" s="941"/>
      <c r="M4" s="941"/>
      <c r="N4" s="941"/>
      <c r="O4" s="941"/>
      <c r="P4" s="941"/>
    </row>
    <row r="5" spans="2:16" ht="18.75" customHeight="1" thickBot="1">
      <c r="B5" s="604"/>
      <c r="C5" s="604"/>
      <c r="D5" s="604"/>
      <c r="E5" s="604"/>
      <c r="F5" s="604"/>
      <c r="G5" s="604"/>
      <c r="H5" s="605" t="s">
        <v>62</v>
      </c>
      <c r="I5" s="871"/>
      <c r="J5" s="604"/>
      <c r="K5" s="604"/>
      <c r="L5" s="887"/>
      <c r="M5" s="604"/>
      <c r="N5" s="604"/>
      <c r="O5" s="604"/>
      <c r="P5" s="605" t="s">
        <v>62</v>
      </c>
    </row>
    <row r="6" spans="2:43" s="609" customFormat="1" ht="37.5" customHeight="1">
      <c r="B6" s="606"/>
      <c r="C6" s="942" t="s">
        <v>411</v>
      </c>
      <c r="D6" s="942" t="s">
        <v>111</v>
      </c>
      <c r="E6" s="942" t="s">
        <v>413</v>
      </c>
      <c r="F6" s="942" t="s">
        <v>414</v>
      </c>
      <c r="G6" s="944" t="s">
        <v>418</v>
      </c>
      <c r="H6" s="945"/>
      <c r="I6" s="866"/>
      <c r="J6" s="606"/>
      <c r="K6" s="607"/>
      <c r="L6" s="942" t="s">
        <v>412</v>
      </c>
      <c r="M6" s="942" t="s">
        <v>413</v>
      </c>
      <c r="N6" s="942" t="s">
        <v>414</v>
      </c>
      <c r="O6" s="944" t="s">
        <v>418</v>
      </c>
      <c r="P6" s="945"/>
      <c r="Q6" s="608"/>
      <c r="R6" s="608"/>
      <c r="S6" s="608"/>
      <c r="T6" s="608"/>
      <c r="U6" s="608"/>
      <c r="V6" s="608"/>
      <c r="W6" s="608"/>
      <c r="X6" s="608"/>
      <c r="Y6" s="608"/>
      <c r="Z6" s="608"/>
      <c r="AA6" s="608"/>
      <c r="AB6" s="608"/>
      <c r="AC6" s="608"/>
      <c r="AD6" s="608"/>
      <c r="AE6" s="608"/>
      <c r="AF6" s="608"/>
      <c r="AG6" s="608"/>
      <c r="AH6" s="608"/>
      <c r="AI6" s="608"/>
      <c r="AJ6" s="608"/>
      <c r="AK6" s="608"/>
      <c r="AL6" s="608"/>
      <c r="AM6" s="608"/>
      <c r="AN6" s="608"/>
      <c r="AO6" s="608"/>
      <c r="AP6" s="608"/>
      <c r="AQ6" s="608"/>
    </row>
    <row r="7" spans="2:43" s="609" customFormat="1" ht="68.25" customHeight="1">
      <c r="B7" s="610" t="s">
        <v>1080</v>
      </c>
      <c r="C7" s="943"/>
      <c r="D7" s="943"/>
      <c r="E7" s="943"/>
      <c r="F7" s="943"/>
      <c r="G7" s="612" t="s">
        <v>416</v>
      </c>
      <c r="H7" s="613" t="s">
        <v>419</v>
      </c>
      <c r="I7" s="866"/>
      <c r="J7" s="610" t="s">
        <v>1080</v>
      </c>
      <c r="K7" s="611" t="s">
        <v>411</v>
      </c>
      <c r="L7" s="943"/>
      <c r="M7" s="943"/>
      <c r="N7" s="943"/>
      <c r="O7" s="612" t="s">
        <v>416</v>
      </c>
      <c r="P7" s="613" t="s">
        <v>419</v>
      </c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</row>
    <row r="8" spans="2:43" s="609" customFormat="1" ht="37.5" customHeight="1">
      <c r="B8" s="610"/>
      <c r="C8" s="614">
        <v>2011</v>
      </c>
      <c r="D8" s="615">
        <v>2011</v>
      </c>
      <c r="E8" s="615">
        <v>2011</v>
      </c>
      <c r="F8" s="615">
        <v>2011</v>
      </c>
      <c r="G8" s="615">
        <v>2011</v>
      </c>
      <c r="H8" s="616">
        <v>2011</v>
      </c>
      <c r="I8" s="872"/>
      <c r="J8" s="709"/>
      <c r="K8" s="614">
        <v>2011</v>
      </c>
      <c r="L8" s="615">
        <v>2011</v>
      </c>
      <c r="M8" s="615">
        <v>2011</v>
      </c>
      <c r="N8" s="615">
        <v>2011</v>
      </c>
      <c r="O8" s="615">
        <v>2011</v>
      </c>
      <c r="P8" s="616">
        <v>2011</v>
      </c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</row>
    <row r="9" spans="2:16" ht="19.5">
      <c r="B9" s="617"/>
      <c r="C9" s="618" t="s">
        <v>1131</v>
      </c>
      <c r="D9" s="619" t="s">
        <v>1129</v>
      </c>
      <c r="E9" s="619" t="s">
        <v>1130</v>
      </c>
      <c r="F9" s="620" t="s">
        <v>415</v>
      </c>
      <c r="G9" s="621" t="s">
        <v>417</v>
      </c>
      <c r="H9" s="622" t="s">
        <v>17</v>
      </c>
      <c r="I9" s="873"/>
      <c r="J9" s="713"/>
      <c r="K9" s="618" t="s">
        <v>1131</v>
      </c>
      <c r="L9" s="619" t="s">
        <v>1129</v>
      </c>
      <c r="M9" s="619" t="s">
        <v>1130</v>
      </c>
      <c r="N9" s="620" t="s">
        <v>415</v>
      </c>
      <c r="O9" s="621" t="s">
        <v>417</v>
      </c>
      <c r="P9" s="622" t="s">
        <v>17</v>
      </c>
    </row>
    <row r="10" spans="2:16" ht="19.5">
      <c r="B10" s="623" t="s">
        <v>420</v>
      </c>
      <c r="C10" s="624">
        <v>0</v>
      </c>
      <c r="D10" s="624">
        <v>0</v>
      </c>
      <c r="E10" s="625"/>
      <c r="F10" s="626"/>
      <c r="G10" s="624">
        <v>0</v>
      </c>
      <c r="H10" s="627"/>
      <c r="I10" s="867"/>
      <c r="J10" s="874"/>
      <c r="K10" s="628"/>
      <c r="L10" s="629"/>
      <c r="M10" s="630"/>
      <c r="N10" s="630"/>
      <c r="O10" s="631"/>
      <c r="P10" s="632"/>
    </row>
    <row r="11" spans="2:16" ht="19.5">
      <c r="B11" s="633" t="s">
        <v>421</v>
      </c>
      <c r="C11" s="624">
        <v>0</v>
      </c>
      <c r="D11" s="624">
        <v>0</v>
      </c>
      <c r="E11" s="625"/>
      <c r="F11" s="634"/>
      <c r="G11" s="624">
        <v>0</v>
      </c>
      <c r="H11" s="627"/>
      <c r="I11" s="867"/>
      <c r="J11" s="874"/>
      <c r="K11" s="628"/>
      <c r="L11" s="629"/>
      <c r="M11" s="630"/>
      <c r="N11" s="630"/>
      <c r="O11" s="631"/>
      <c r="P11" s="632"/>
    </row>
    <row r="12" spans="2:16" ht="19.5">
      <c r="B12" s="635" t="s">
        <v>422</v>
      </c>
      <c r="C12" s="624">
        <v>0</v>
      </c>
      <c r="D12" s="624">
        <v>0</v>
      </c>
      <c r="E12" s="625"/>
      <c r="F12" s="626"/>
      <c r="G12" s="624">
        <v>0</v>
      </c>
      <c r="H12" s="627"/>
      <c r="I12" s="867"/>
      <c r="J12" s="874"/>
      <c r="K12" s="628"/>
      <c r="L12" s="629"/>
      <c r="M12" s="630"/>
      <c r="N12" s="630"/>
      <c r="O12" s="631"/>
      <c r="P12" s="632"/>
    </row>
    <row r="13" spans="2:43" s="643" customFormat="1" ht="18.75" customHeight="1">
      <c r="B13" s="636" t="s">
        <v>423</v>
      </c>
      <c r="C13" s="637">
        <v>0</v>
      </c>
      <c r="D13" s="637">
        <v>0</v>
      </c>
      <c r="E13" s="637"/>
      <c r="F13" s="638"/>
      <c r="G13" s="637">
        <v>0</v>
      </c>
      <c r="H13" s="639"/>
      <c r="I13" s="925"/>
      <c r="J13" s="875"/>
      <c r="K13" s="628"/>
      <c r="L13" s="628"/>
      <c r="M13" s="640"/>
      <c r="N13" s="630" t="s">
        <v>590</v>
      </c>
      <c r="O13" s="641" t="s">
        <v>590</v>
      </c>
      <c r="P13" s="632"/>
      <c r="Q13" s="642"/>
      <c r="R13" s="642"/>
      <c r="S13" s="642"/>
      <c r="T13" s="642"/>
      <c r="U13" s="642"/>
      <c r="V13" s="642"/>
      <c r="W13" s="642"/>
      <c r="X13" s="642"/>
      <c r="Y13" s="642"/>
      <c r="Z13" s="642"/>
      <c r="AA13" s="642"/>
      <c r="AB13" s="642"/>
      <c r="AC13" s="642"/>
      <c r="AD13" s="642"/>
      <c r="AE13" s="642"/>
      <c r="AF13" s="642"/>
      <c r="AG13" s="642"/>
      <c r="AH13" s="642"/>
      <c r="AI13" s="642"/>
      <c r="AJ13" s="642"/>
      <c r="AK13" s="642"/>
      <c r="AL13" s="642"/>
      <c r="AM13" s="642"/>
      <c r="AN13" s="642"/>
      <c r="AO13" s="642"/>
      <c r="AP13" s="642"/>
      <c r="AQ13" s="642"/>
    </row>
    <row r="14" spans="2:43" s="643" customFormat="1" ht="18.75" customHeight="1">
      <c r="B14" s="636" t="s">
        <v>424</v>
      </c>
      <c r="C14" s="637">
        <v>0</v>
      </c>
      <c r="D14" s="637">
        <v>0</v>
      </c>
      <c r="E14" s="637"/>
      <c r="F14" s="638"/>
      <c r="G14" s="637">
        <v>0</v>
      </c>
      <c r="H14" s="639"/>
      <c r="I14" s="925"/>
      <c r="J14" s="875"/>
      <c r="K14" s="628"/>
      <c r="L14" s="628"/>
      <c r="M14" s="640"/>
      <c r="N14" s="644" t="s">
        <v>590</v>
      </c>
      <c r="O14" s="628" t="s">
        <v>590</v>
      </c>
      <c r="P14" s="645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</row>
    <row r="15" spans="2:43" s="643" customFormat="1" ht="18.75" customHeight="1">
      <c r="B15" s="646" t="s">
        <v>1588</v>
      </c>
      <c r="C15" s="647">
        <v>0</v>
      </c>
      <c r="D15" s="647">
        <v>0</v>
      </c>
      <c r="E15" s="647"/>
      <c r="F15" s="634"/>
      <c r="G15" s="647">
        <v>0</v>
      </c>
      <c r="H15" s="627"/>
      <c r="I15" s="867"/>
      <c r="J15" s="876"/>
      <c r="K15" s="648"/>
      <c r="L15" s="648"/>
      <c r="M15" s="644"/>
      <c r="N15" s="644" t="s">
        <v>590</v>
      </c>
      <c r="O15" s="649" t="s">
        <v>590</v>
      </c>
      <c r="P15" s="650"/>
      <c r="Q15" s="642"/>
      <c r="R15" s="642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</row>
    <row r="16" spans="2:43" s="643" customFormat="1" ht="18.75" customHeight="1">
      <c r="B16" s="651"/>
      <c r="C16" s="652"/>
      <c r="D16" s="652"/>
      <c r="E16" s="652"/>
      <c r="F16" s="653" t="s">
        <v>590</v>
      </c>
      <c r="G16" s="652"/>
      <c r="H16" s="654"/>
      <c r="I16" s="867"/>
      <c r="J16" s="651"/>
      <c r="K16" s="648"/>
      <c r="L16" s="648"/>
      <c r="M16" s="644"/>
      <c r="N16" s="644" t="s">
        <v>590</v>
      </c>
      <c r="O16" s="649" t="s">
        <v>590</v>
      </c>
      <c r="P16" s="650"/>
      <c r="Q16" s="642"/>
      <c r="R16" s="642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2"/>
      <c r="AP16" s="642"/>
      <c r="AQ16" s="642"/>
    </row>
    <row r="17" spans="2:16" ht="18.75" customHeight="1">
      <c r="B17" s="655" t="s">
        <v>82</v>
      </c>
      <c r="C17" s="656">
        <v>4595743853</v>
      </c>
      <c r="D17" s="656">
        <v>4567863119.99</v>
      </c>
      <c r="E17" s="657">
        <v>1</v>
      </c>
      <c r="F17" s="657">
        <v>0.9939333579281621</v>
      </c>
      <c r="G17" s="656">
        <v>-27880733.01000023</v>
      </c>
      <c r="H17" s="658">
        <v>-0.006066642071837903</v>
      </c>
      <c r="I17" s="767"/>
      <c r="J17" s="655" t="s">
        <v>82</v>
      </c>
      <c r="K17" s="659">
        <v>4484949797</v>
      </c>
      <c r="L17" s="659">
        <v>4404629166.46</v>
      </c>
      <c r="M17" s="660">
        <v>0.9990149246426239</v>
      </c>
      <c r="N17" s="657">
        <v>0.9820910747777541</v>
      </c>
      <c r="O17" s="656">
        <v>-80320630.53999996</v>
      </c>
      <c r="P17" s="658">
        <v>-0.01790892522224591</v>
      </c>
    </row>
    <row r="18" spans="2:16" ht="18.75" customHeight="1">
      <c r="B18" s="661"/>
      <c r="C18" s="662"/>
      <c r="D18" s="662"/>
      <c r="E18" s="657"/>
      <c r="F18" s="663" t="s">
        <v>590</v>
      </c>
      <c r="G18" s="662"/>
      <c r="H18" s="658"/>
      <c r="I18" s="767"/>
      <c r="J18" s="655"/>
      <c r="K18" s="648"/>
      <c r="L18" s="648"/>
      <c r="M18" s="644"/>
      <c r="N18" s="644" t="s">
        <v>590</v>
      </c>
      <c r="O18" s="648"/>
      <c r="P18" s="650"/>
    </row>
    <row r="19" spans="2:16" ht="18.75" customHeight="1">
      <c r="B19" s="661"/>
      <c r="C19" s="662"/>
      <c r="D19" s="662"/>
      <c r="E19" s="657"/>
      <c r="F19" s="663" t="s">
        <v>590</v>
      </c>
      <c r="G19" s="662"/>
      <c r="H19" s="658"/>
      <c r="I19" s="767"/>
      <c r="J19" s="664" t="s">
        <v>822</v>
      </c>
      <c r="K19" s="648">
        <v>420000000</v>
      </c>
      <c r="L19" s="648">
        <v>414383544.92999995</v>
      </c>
      <c r="M19" s="644">
        <v>0.09398642434275555</v>
      </c>
      <c r="N19" s="657">
        <v>0.9866274879285714</v>
      </c>
      <c r="O19" s="648">
        <v>-5616455.070000052</v>
      </c>
      <c r="P19" s="650">
        <v>-0.013372512071428696</v>
      </c>
    </row>
    <row r="20" spans="2:16" ht="18.75" customHeight="1">
      <c r="B20" s="661"/>
      <c r="C20" s="662"/>
      <c r="D20" s="662"/>
      <c r="E20" s="657"/>
      <c r="F20" s="663" t="s">
        <v>590</v>
      </c>
      <c r="G20" s="662"/>
      <c r="H20" s="658"/>
      <c r="I20" s="767"/>
      <c r="J20" s="664"/>
      <c r="K20" s="648"/>
      <c r="L20" s="648"/>
      <c r="M20" s="644"/>
      <c r="N20" s="644" t="s">
        <v>590</v>
      </c>
      <c r="O20" s="648"/>
      <c r="P20" s="650"/>
    </row>
    <row r="21" spans="2:16" ht="18.75" customHeight="1">
      <c r="B21" s="661"/>
      <c r="C21" s="662"/>
      <c r="D21" s="662"/>
      <c r="E21" s="657"/>
      <c r="F21" s="663" t="s">
        <v>590</v>
      </c>
      <c r="G21" s="662"/>
      <c r="H21" s="658"/>
      <c r="I21" s="767"/>
      <c r="J21" s="664" t="s">
        <v>627</v>
      </c>
      <c r="K21" s="648">
        <v>284450168</v>
      </c>
      <c r="L21" s="648">
        <v>278481456.10999995</v>
      </c>
      <c r="M21" s="644">
        <v>0.06316244123536392</v>
      </c>
      <c r="N21" s="644">
        <v>0.9995952589131485</v>
      </c>
      <c r="O21" s="648">
        <v>-5968711.890000045</v>
      </c>
      <c r="P21" s="650">
        <v>-0.020983330514327717</v>
      </c>
    </row>
    <row r="22" spans="2:16" ht="18.75" customHeight="1">
      <c r="B22" s="661"/>
      <c r="C22" s="662"/>
      <c r="D22" s="662"/>
      <c r="E22" s="657"/>
      <c r="F22" s="663" t="s">
        <v>590</v>
      </c>
      <c r="G22" s="662"/>
      <c r="H22" s="658"/>
      <c r="I22" s="767"/>
      <c r="J22" s="664" t="s">
        <v>126</v>
      </c>
      <c r="K22" s="648">
        <v>25418506</v>
      </c>
      <c r="L22" s="648">
        <v>23525736.94</v>
      </c>
      <c r="M22" s="644">
        <v>0.0053358776478259805</v>
      </c>
      <c r="N22" s="644">
        <v>0.9826112188461538</v>
      </c>
      <c r="O22" s="648">
        <v>-1892769.06</v>
      </c>
      <c r="P22" s="650">
        <v>-0.07446421359304117</v>
      </c>
    </row>
    <row r="23" spans="2:16" ht="18.75" customHeight="1">
      <c r="B23" s="664" t="s">
        <v>1550</v>
      </c>
      <c r="C23" s="656">
        <v>731805</v>
      </c>
      <c r="D23" s="656">
        <v>721805</v>
      </c>
      <c r="E23" s="657">
        <v>0.00015801808877354893</v>
      </c>
      <c r="F23" s="657">
        <v>0.9863351575897951</v>
      </c>
      <c r="G23" s="656">
        <v>-10000</v>
      </c>
      <c r="H23" s="658">
        <v>-0.013664842410204905</v>
      </c>
      <c r="I23" s="767"/>
      <c r="J23" s="664" t="s">
        <v>1231</v>
      </c>
      <c r="K23" s="648">
        <v>276612996</v>
      </c>
      <c r="L23" s="648">
        <v>272748370.31</v>
      </c>
      <c r="M23" s="644">
        <v>0.06186211876507075</v>
      </c>
      <c r="N23" s="644">
        <v>0.9997769064787296</v>
      </c>
      <c r="O23" s="648">
        <v>-3864625.69</v>
      </c>
      <c r="P23" s="650">
        <v>-0.01397123687565279</v>
      </c>
    </row>
    <row r="24" spans="2:16" ht="18.75" customHeight="1">
      <c r="B24" s="665" t="s">
        <v>758</v>
      </c>
      <c r="C24" s="662">
        <v>721805</v>
      </c>
      <c r="D24" s="662">
        <v>721805</v>
      </c>
      <c r="E24" s="663">
        <v>0.00015801808877354893</v>
      </c>
      <c r="F24" s="663">
        <v>1</v>
      </c>
      <c r="G24" s="662">
        <v>0</v>
      </c>
      <c r="H24" s="658">
        <v>0</v>
      </c>
      <c r="I24" s="767"/>
      <c r="J24" s="664"/>
      <c r="K24" s="648"/>
      <c r="L24" s="648"/>
      <c r="M24" s="644"/>
      <c r="N24" s="644" t="s">
        <v>590</v>
      </c>
      <c r="O24" s="648"/>
      <c r="P24" s="650"/>
    </row>
    <row r="25" spans="2:16" ht="18.75" customHeight="1">
      <c r="B25" s="665" t="s">
        <v>759</v>
      </c>
      <c r="C25" s="662">
        <v>10000</v>
      </c>
      <c r="D25" s="662">
        <v>0</v>
      </c>
      <c r="E25" s="663">
        <v>0</v>
      </c>
      <c r="F25" s="663">
        <v>0</v>
      </c>
      <c r="G25" s="662">
        <v>-10000</v>
      </c>
      <c r="H25" s="658">
        <v>-1</v>
      </c>
      <c r="I25" s="767"/>
      <c r="J25" s="664" t="s">
        <v>924</v>
      </c>
      <c r="K25" s="648">
        <v>1266657</v>
      </c>
      <c r="L25" s="648">
        <v>884268.74</v>
      </c>
      <c r="M25" s="644">
        <v>0.000200561190345319</v>
      </c>
      <c r="N25" s="644">
        <v>0.6301693961066208</v>
      </c>
      <c r="O25" s="648">
        <v>-382388.26</v>
      </c>
      <c r="P25" s="650">
        <v>-0.3018877723014203</v>
      </c>
    </row>
    <row r="26" spans="2:16" ht="18.75" customHeight="1">
      <c r="B26" s="666"/>
      <c r="C26" s="662"/>
      <c r="D26" s="662"/>
      <c r="E26" s="663"/>
      <c r="F26" s="663" t="s">
        <v>590</v>
      </c>
      <c r="G26" s="662"/>
      <c r="H26" s="658"/>
      <c r="I26" s="767"/>
      <c r="J26" s="664"/>
      <c r="K26" s="648"/>
      <c r="L26" s="648"/>
      <c r="M26" s="644"/>
      <c r="N26" s="644" t="s">
        <v>590</v>
      </c>
      <c r="O26" s="648"/>
      <c r="P26" s="650"/>
    </row>
    <row r="27" spans="2:16" ht="18.75" customHeight="1">
      <c r="B27" s="664" t="s">
        <v>1136</v>
      </c>
      <c r="C27" s="656">
        <v>2166141</v>
      </c>
      <c r="D27" s="656">
        <v>1116435.66</v>
      </c>
      <c r="E27" s="657">
        <v>0.00024441092709504047</v>
      </c>
      <c r="F27" s="657">
        <v>0.515403041630254</v>
      </c>
      <c r="G27" s="656">
        <v>-1049705.34</v>
      </c>
      <c r="H27" s="658">
        <v>-0.48459695836974603</v>
      </c>
      <c r="I27" s="767"/>
      <c r="J27" s="664"/>
      <c r="K27" s="648"/>
      <c r="L27" s="648"/>
      <c r="M27" s="644"/>
      <c r="N27" s="644" t="s">
        <v>590</v>
      </c>
      <c r="O27" s="648"/>
      <c r="P27" s="650"/>
    </row>
    <row r="28" spans="2:16" ht="18.75" customHeight="1">
      <c r="B28" s="667"/>
      <c r="C28" s="662"/>
      <c r="D28" s="662"/>
      <c r="E28" s="663"/>
      <c r="F28" s="663" t="s">
        <v>590</v>
      </c>
      <c r="G28" s="662"/>
      <c r="H28" s="658"/>
      <c r="I28" s="767"/>
      <c r="J28" s="664" t="s">
        <v>2</v>
      </c>
      <c r="K28" s="659">
        <v>110000</v>
      </c>
      <c r="L28" s="659">
        <v>43754.41</v>
      </c>
      <c r="M28" s="660">
        <v>9.923947500911465E-06</v>
      </c>
      <c r="N28" s="660">
        <v>0.39776736363636367</v>
      </c>
      <c r="O28" s="659">
        <v>-66245.59</v>
      </c>
      <c r="P28" s="807">
        <v>-0.6022326363636363</v>
      </c>
    </row>
    <row r="29" spans="2:16" ht="18.75" customHeight="1">
      <c r="B29" s="664" t="s">
        <v>739</v>
      </c>
      <c r="C29" s="656">
        <v>4524772326</v>
      </c>
      <c r="D29" s="656">
        <v>4524878680</v>
      </c>
      <c r="E29" s="657">
        <v>0.9905898143484444</v>
      </c>
      <c r="F29" s="657">
        <v>1.0000235048290471</v>
      </c>
      <c r="G29" s="656">
        <v>106354</v>
      </c>
      <c r="H29" s="658">
        <v>2.3504829047170934E-05</v>
      </c>
      <c r="I29" s="767"/>
      <c r="J29" s="665"/>
      <c r="K29" s="648"/>
      <c r="L29" s="648"/>
      <c r="M29" s="644"/>
      <c r="N29" s="644"/>
      <c r="O29" s="648"/>
      <c r="P29" s="650"/>
    </row>
    <row r="30" spans="2:16" ht="18.75" customHeight="1">
      <c r="B30" s="664" t="s">
        <v>223</v>
      </c>
      <c r="C30" s="656">
        <v>0</v>
      </c>
      <c r="D30" s="656">
        <v>0</v>
      </c>
      <c r="E30" s="657">
        <v>0</v>
      </c>
      <c r="F30" s="657"/>
      <c r="G30" s="656">
        <v>0</v>
      </c>
      <c r="H30" s="658"/>
      <c r="I30" s="767"/>
      <c r="J30" s="665"/>
      <c r="K30" s="648"/>
      <c r="L30" s="648"/>
      <c r="M30" s="644"/>
      <c r="N30" s="644"/>
      <c r="O30" s="648"/>
      <c r="P30" s="650"/>
    </row>
    <row r="31" spans="2:17" ht="18.75" customHeight="1">
      <c r="B31" s="667"/>
      <c r="C31" s="662"/>
      <c r="D31" s="662"/>
      <c r="E31" s="663"/>
      <c r="F31" s="663" t="s">
        <v>590</v>
      </c>
      <c r="G31" s="662"/>
      <c r="H31" s="658"/>
      <c r="I31" s="767"/>
      <c r="J31" s="665"/>
      <c r="K31" s="648"/>
      <c r="L31" s="648"/>
      <c r="M31" s="644"/>
      <c r="N31" s="644"/>
      <c r="O31" s="648"/>
      <c r="P31" s="650"/>
      <c r="Q31" s="668"/>
    </row>
    <row r="32" spans="2:16" ht="18.75" customHeight="1">
      <c r="B32" s="664" t="s">
        <v>760</v>
      </c>
      <c r="C32" s="656">
        <v>110000</v>
      </c>
      <c r="D32" s="656">
        <v>20389.87</v>
      </c>
      <c r="E32" s="657">
        <v>4.4637655429667594E-06</v>
      </c>
      <c r="F32" s="657">
        <v>0.18536245454545452</v>
      </c>
      <c r="G32" s="656">
        <v>-89610.13</v>
      </c>
      <c r="H32" s="658">
        <v>-0.8146375454545455</v>
      </c>
      <c r="I32" s="767"/>
      <c r="J32" s="665"/>
      <c r="K32" s="648"/>
      <c r="L32" s="648"/>
      <c r="M32" s="644"/>
      <c r="N32" s="644"/>
      <c r="O32" s="648"/>
      <c r="P32" s="650"/>
    </row>
    <row r="33" spans="2:16" ht="18.75" customHeight="1">
      <c r="B33" s="664" t="s">
        <v>761</v>
      </c>
      <c r="C33" s="656">
        <v>25686871</v>
      </c>
      <c r="D33" s="656">
        <v>96317</v>
      </c>
      <c r="E33" s="657">
        <v>2.1085789453386874E-05</v>
      </c>
      <c r="F33" s="657">
        <v>0.003749658726436552</v>
      </c>
      <c r="G33" s="656">
        <v>-25590554</v>
      </c>
      <c r="H33" s="658">
        <v>-0.9962503412735635</v>
      </c>
      <c r="I33" s="767"/>
      <c r="J33" s="661"/>
      <c r="K33" s="648"/>
      <c r="L33" s="648"/>
      <c r="M33" s="644"/>
      <c r="N33" s="644" t="s">
        <v>590</v>
      </c>
      <c r="O33" s="648">
        <v>0</v>
      </c>
      <c r="P33" s="650"/>
    </row>
    <row r="34" spans="2:17" ht="18.75" customHeight="1">
      <c r="B34" s="664" t="s">
        <v>485</v>
      </c>
      <c r="C34" s="656">
        <v>947000</v>
      </c>
      <c r="D34" s="662">
        <v>0</v>
      </c>
      <c r="E34" s="657">
        <v>0</v>
      </c>
      <c r="F34" s="657">
        <v>0</v>
      </c>
      <c r="G34" s="656">
        <v>-947000</v>
      </c>
      <c r="H34" s="658">
        <v>-1</v>
      </c>
      <c r="I34" s="767"/>
      <c r="J34" s="664" t="s">
        <v>1517</v>
      </c>
      <c r="K34" s="648">
        <v>721805</v>
      </c>
      <c r="L34" s="648">
        <v>2685.8</v>
      </c>
      <c r="M34" s="644">
        <v>6.091668976441007E-07</v>
      </c>
      <c r="N34" s="644">
        <v>0.0037209495639403995</v>
      </c>
      <c r="O34" s="648">
        <v>-719119.2</v>
      </c>
      <c r="P34" s="650">
        <v>-0.9962790504360596</v>
      </c>
      <c r="Q34" s="668"/>
    </row>
    <row r="35" spans="2:17" ht="18.75" customHeight="1">
      <c r="B35" s="664" t="s">
        <v>1325</v>
      </c>
      <c r="C35" s="656">
        <v>13824710</v>
      </c>
      <c r="D35" s="656">
        <v>11782873.61</v>
      </c>
      <c r="E35" s="657">
        <v>0.002579515475942238</v>
      </c>
      <c r="F35" s="657">
        <v>0.8523053004366818</v>
      </c>
      <c r="G35" s="656">
        <v>-2041836.39</v>
      </c>
      <c r="H35" s="658">
        <v>-0.14769469956331818</v>
      </c>
      <c r="I35" s="767"/>
      <c r="J35" s="664" t="s">
        <v>1323</v>
      </c>
      <c r="K35" s="648">
        <v>10000</v>
      </c>
      <c r="L35" s="648">
        <v>0</v>
      </c>
      <c r="M35" s="644">
        <v>0</v>
      </c>
      <c r="N35" s="644">
        <v>0</v>
      </c>
      <c r="O35" s="648">
        <v>-10000</v>
      </c>
      <c r="P35" s="650">
        <v>-1</v>
      </c>
      <c r="Q35" s="668"/>
    </row>
    <row r="36" spans="2:17" ht="18.75" customHeight="1">
      <c r="B36" s="669" t="s">
        <v>1324</v>
      </c>
      <c r="C36" s="662">
        <v>13824710</v>
      </c>
      <c r="D36" s="662">
        <v>11782873.61</v>
      </c>
      <c r="E36" s="663">
        <v>0.002579515475942238</v>
      </c>
      <c r="F36" s="663">
        <v>0.8523053004366818</v>
      </c>
      <c r="G36" s="662">
        <v>-2041836.39</v>
      </c>
      <c r="H36" s="658">
        <v>-0.14769469956331818</v>
      </c>
      <c r="I36" s="767"/>
      <c r="J36" s="661"/>
      <c r="K36" s="648"/>
      <c r="L36" s="648"/>
      <c r="M36" s="644"/>
      <c r="N36" s="644" t="s">
        <v>590</v>
      </c>
      <c r="O36" s="648"/>
      <c r="P36" s="650"/>
      <c r="Q36" s="668"/>
    </row>
    <row r="37" spans="2:17" ht="18.75" customHeight="1">
      <c r="B37" s="667"/>
      <c r="C37" s="662"/>
      <c r="D37" s="662"/>
      <c r="E37" s="663"/>
      <c r="F37" s="663" t="s">
        <v>590</v>
      </c>
      <c r="G37" s="662"/>
      <c r="H37" s="658"/>
      <c r="I37" s="767"/>
      <c r="J37" s="664" t="s">
        <v>923</v>
      </c>
      <c r="K37" s="648">
        <v>5656830</v>
      </c>
      <c r="L37" s="648">
        <v>5656830</v>
      </c>
      <c r="M37" s="644">
        <v>0.0012830268752699672</v>
      </c>
      <c r="N37" s="644">
        <v>1</v>
      </c>
      <c r="O37" s="648">
        <v>0</v>
      </c>
      <c r="P37" s="650">
        <v>0</v>
      </c>
      <c r="Q37" s="668"/>
    </row>
    <row r="38" spans="2:17" ht="18.75" customHeight="1">
      <c r="B38" s="661"/>
      <c r="C38" s="662"/>
      <c r="D38" s="662"/>
      <c r="E38" s="663"/>
      <c r="F38" s="663" t="s">
        <v>590</v>
      </c>
      <c r="G38" s="662"/>
      <c r="H38" s="658"/>
      <c r="I38" s="767"/>
      <c r="J38" s="664"/>
      <c r="K38" s="648"/>
      <c r="L38" s="648"/>
      <c r="M38" s="644"/>
      <c r="N38" s="644" t="s">
        <v>590</v>
      </c>
      <c r="O38" s="648"/>
      <c r="P38" s="650"/>
      <c r="Q38" s="668"/>
    </row>
    <row r="39" spans="2:17" ht="18.75" customHeight="1">
      <c r="B39" s="664" t="s">
        <v>196</v>
      </c>
      <c r="C39" s="656">
        <v>27505000</v>
      </c>
      <c r="D39" s="656">
        <v>29246618.85</v>
      </c>
      <c r="E39" s="657">
        <v>0.0064026916047484434</v>
      </c>
      <c r="F39" s="657">
        <v>1.0633200818033086</v>
      </c>
      <c r="G39" s="656">
        <v>1741618.85</v>
      </c>
      <c r="H39" s="658">
        <v>0.06332008180330854</v>
      </c>
      <c r="I39" s="767"/>
      <c r="J39" s="664" t="s">
        <v>391</v>
      </c>
      <c r="K39" s="659">
        <v>1973771871</v>
      </c>
      <c r="L39" s="659">
        <v>1945235640.9300003</v>
      </c>
      <c r="M39" s="660">
        <v>0.44119933002161815</v>
      </c>
      <c r="N39" s="660">
        <v>0.985542285565382</v>
      </c>
      <c r="O39" s="659">
        <v>-28536230.069999695</v>
      </c>
      <c r="P39" s="807">
        <v>-0.014457714434618008</v>
      </c>
      <c r="Q39" s="668"/>
    </row>
    <row r="40" spans="2:17" ht="18.75" customHeight="1">
      <c r="B40" s="664"/>
      <c r="C40" s="662"/>
      <c r="D40" s="662"/>
      <c r="E40" s="663"/>
      <c r="F40" s="663" t="s">
        <v>590</v>
      </c>
      <c r="G40" s="662"/>
      <c r="H40" s="658"/>
      <c r="I40" s="767"/>
      <c r="J40" s="665" t="s">
        <v>461</v>
      </c>
      <c r="K40" s="659">
        <v>1570442475</v>
      </c>
      <c r="L40" s="659">
        <v>1555068287.21</v>
      </c>
      <c r="M40" s="660">
        <v>0.3527053854138212</v>
      </c>
      <c r="N40" s="660">
        <v>0.9902102827484974</v>
      </c>
      <c r="O40" s="659">
        <v>-15374187.789999962</v>
      </c>
      <c r="P40" s="807">
        <v>-0.009789717251502614</v>
      </c>
      <c r="Q40" s="668"/>
    </row>
    <row r="41" spans="2:17" ht="18.75" customHeight="1">
      <c r="B41" s="664"/>
      <c r="C41" s="662"/>
      <c r="D41" s="662"/>
      <c r="E41" s="663"/>
      <c r="F41" s="663" t="s">
        <v>590</v>
      </c>
      <c r="G41" s="662"/>
      <c r="H41" s="658"/>
      <c r="I41" s="767"/>
      <c r="J41" s="758" t="s">
        <v>29</v>
      </c>
      <c r="K41" s="648">
        <v>213877592</v>
      </c>
      <c r="L41" s="648">
        <v>212321956.26</v>
      </c>
      <c r="M41" s="644">
        <v>0.048156790303310236</v>
      </c>
      <c r="N41" s="644">
        <v>0.9927265136779733</v>
      </c>
      <c r="O41" s="648">
        <v>-1555635.7400000095</v>
      </c>
      <c r="P41" s="650">
        <v>-0.007273486322026711</v>
      </c>
      <c r="Q41" s="668"/>
    </row>
    <row r="42" spans="2:17" ht="18.75" customHeight="1">
      <c r="B42" s="664"/>
      <c r="C42" s="662"/>
      <c r="D42" s="662"/>
      <c r="E42" s="663"/>
      <c r="F42" s="663" t="s">
        <v>590</v>
      </c>
      <c r="G42" s="662"/>
      <c r="H42" s="658"/>
      <c r="I42" s="767"/>
      <c r="J42" s="758" t="s">
        <v>26</v>
      </c>
      <c r="K42" s="648">
        <v>1193711448</v>
      </c>
      <c r="L42" s="648">
        <v>1184481872.89</v>
      </c>
      <c r="M42" s="644">
        <v>0.26865259804306924</v>
      </c>
      <c r="N42" s="644">
        <v>0.9922681690575528</v>
      </c>
      <c r="O42" s="648">
        <v>-9229575.109999895</v>
      </c>
      <c r="P42" s="650">
        <v>-0.007731830942447236</v>
      </c>
      <c r="Q42" s="668"/>
    </row>
    <row r="43" spans="2:17" ht="18.75" customHeight="1">
      <c r="B43" s="664"/>
      <c r="C43" s="662"/>
      <c r="D43" s="662"/>
      <c r="E43" s="663"/>
      <c r="F43" s="663" t="s">
        <v>590</v>
      </c>
      <c r="G43" s="662"/>
      <c r="H43" s="658"/>
      <c r="I43" s="767"/>
      <c r="J43" s="758" t="s">
        <v>28</v>
      </c>
      <c r="K43" s="648">
        <v>162853435</v>
      </c>
      <c r="L43" s="648">
        <v>158264458.06</v>
      </c>
      <c r="M43" s="644">
        <v>0.03589599706744176</v>
      </c>
      <c r="N43" s="644">
        <v>0.9718214298642212</v>
      </c>
      <c r="O43" s="648">
        <v>-4588976.94</v>
      </c>
      <c r="P43" s="650">
        <v>-0.028178570135778822</v>
      </c>
      <c r="Q43" s="668"/>
    </row>
    <row r="44" spans="2:17" ht="18.75" customHeight="1">
      <c r="B44" s="664"/>
      <c r="C44" s="662"/>
      <c r="D44" s="662"/>
      <c r="E44" s="663"/>
      <c r="F44" s="663" t="s">
        <v>590</v>
      </c>
      <c r="G44" s="662"/>
      <c r="H44" s="658"/>
      <c r="I44" s="767"/>
      <c r="J44" s="661"/>
      <c r="K44" s="648"/>
      <c r="L44" s="648"/>
      <c r="M44" s="644"/>
      <c r="N44" s="644" t="s">
        <v>590</v>
      </c>
      <c r="O44" s="648"/>
      <c r="P44" s="650"/>
      <c r="Q44" s="668"/>
    </row>
    <row r="45" spans="2:17" ht="18.75" customHeight="1">
      <c r="B45" s="664"/>
      <c r="C45" s="662"/>
      <c r="D45" s="662"/>
      <c r="E45" s="663"/>
      <c r="F45" s="663" t="s">
        <v>590</v>
      </c>
      <c r="G45" s="662"/>
      <c r="H45" s="658"/>
      <c r="I45" s="767"/>
      <c r="J45" s="665" t="s">
        <v>352</v>
      </c>
      <c r="K45" s="648">
        <v>89362220</v>
      </c>
      <c r="L45" s="648">
        <v>85670035.42</v>
      </c>
      <c r="M45" s="644">
        <v>0.019430839860697602</v>
      </c>
      <c r="N45" s="644">
        <v>0.9586829358088911</v>
      </c>
      <c r="O45" s="648">
        <v>-3692184.58</v>
      </c>
      <c r="P45" s="650">
        <v>-0.04131706419110893</v>
      </c>
      <c r="Q45" s="668"/>
    </row>
    <row r="46" spans="2:17" ht="18.75" customHeight="1">
      <c r="B46" s="664"/>
      <c r="C46" s="662"/>
      <c r="D46" s="662"/>
      <c r="E46" s="663"/>
      <c r="F46" s="663" t="s">
        <v>590</v>
      </c>
      <c r="G46" s="662"/>
      <c r="H46" s="658"/>
      <c r="I46" s="767"/>
      <c r="J46" s="665" t="s">
        <v>819</v>
      </c>
      <c r="K46" s="648">
        <v>627995</v>
      </c>
      <c r="L46" s="648">
        <v>571503.03</v>
      </c>
      <c r="M46" s="644">
        <v>0.00012962272983070347</v>
      </c>
      <c r="N46" s="644">
        <v>0.9100439175471142</v>
      </c>
      <c r="O46" s="648">
        <v>-56491.97</v>
      </c>
      <c r="P46" s="650">
        <v>-0.08995608245288572</v>
      </c>
      <c r="Q46" s="668"/>
    </row>
    <row r="47" spans="2:17" ht="18.75" customHeight="1">
      <c r="B47" s="664"/>
      <c r="C47" s="662"/>
      <c r="D47" s="662"/>
      <c r="E47" s="663"/>
      <c r="F47" s="663" t="s">
        <v>590</v>
      </c>
      <c r="G47" s="662"/>
      <c r="H47" s="658"/>
      <c r="I47" s="767"/>
      <c r="J47" s="665" t="s">
        <v>820</v>
      </c>
      <c r="K47" s="648">
        <v>3927016</v>
      </c>
      <c r="L47" s="648">
        <v>3765371.17</v>
      </c>
      <c r="M47" s="644">
        <v>0.0008540246757418413</v>
      </c>
      <c r="N47" s="644">
        <v>0.9588377460137671</v>
      </c>
      <c r="O47" s="648">
        <v>-161644.83</v>
      </c>
      <c r="P47" s="650">
        <v>-0.04116225398623282</v>
      </c>
      <c r="Q47" s="668"/>
    </row>
    <row r="48" spans="2:17" ht="18.75" customHeight="1">
      <c r="B48" s="664"/>
      <c r="C48" s="662"/>
      <c r="D48" s="662"/>
      <c r="E48" s="663"/>
      <c r="F48" s="663" t="s">
        <v>590</v>
      </c>
      <c r="G48" s="662"/>
      <c r="H48" s="658"/>
      <c r="I48" s="767"/>
      <c r="J48" s="665" t="s">
        <v>1192</v>
      </c>
      <c r="K48" s="648">
        <v>661000</v>
      </c>
      <c r="L48" s="648">
        <v>30109.64</v>
      </c>
      <c r="M48" s="644">
        <v>6.829174170817156E-06</v>
      </c>
      <c r="N48" s="644">
        <v>0.04555164901664145</v>
      </c>
      <c r="O48" s="648">
        <v>-630890.36</v>
      </c>
      <c r="P48" s="650">
        <v>-0.9544483509833586</v>
      </c>
      <c r="Q48" s="668"/>
    </row>
    <row r="49" spans="2:17" ht="18.75" customHeight="1">
      <c r="B49" s="666"/>
      <c r="C49" s="656"/>
      <c r="D49" s="656"/>
      <c r="E49" s="657"/>
      <c r="F49" s="657" t="s">
        <v>590</v>
      </c>
      <c r="G49" s="656"/>
      <c r="H49" s="658"/>
      <c r="I49" s="767"/>
      <c r="J49" s="669"/>
      <c r="K49" s="648"/>
      <c r="L49" s="648"/>
      <c r="M49" s="644"/>
      <c r="N49" s="644" t="s">
        <v>590</v>
      </c>
      <c r="O49" s="648"/>
      <c r="P49" s="650"/>
      <c r="Q49" s="668"/>
    </row>
    <row r="50" spans="2:17" ht="18.75" customHeight="1">
      <c r="B50" s="661"/>
      <c r="C50" s="670"/>
      <c r="D50" s="670"/>
      <c r="E50" s="663"/>
      <c r="F50" s="663" t="s">
        <v>590</v>
      </c>
      <c r="G50" s="670"/>
      <c r="H50" s="658"/>
      <c r="I50" s="767"/>
      <c r="J50" s="665" t="s">
        <v>92</v>
      </c>
      <c r="K50" s="659">
        <v>280114995</v>
      </c>
      <c r="L50" s="659">
        <v>271689987.93</v>
      </c>
      <c r="M50" s="660">
        <v>0.06162206682116362</v>
      </c>
      <c r="N50" s="660">
        <v>0.9699230415351381</v>
      </c>
      <c r="O50" s="659">
        <v>-8425007.069999993</v>
      </c>
      <c r="P50" s="807">
        <v>-0.03007695846486188</v>
      </c>
      <c r="Q50" s="668"/>
    </row>
    <row r="51" spans="2:17" ht="18.75" customHeight="1">
      <c r="B51" s="661"/>
      <c r="C51" s="670"/>
      <c r="D51" s="670"/>
      <c r="E51" s="663"/>
      <c r="F51" s="663" t="s">
        <v>590</v>
      </c>
      <c r="G51" s="670"/>
      <c r="H51" s="658"/>
      <c r="I51" s="767"/>
      <c r="J51" s="758" t="s">
        <v>29</v>
      </c>
      <c r="K51" s="648">
        <v>136527691</v>
      </c>
      <c r="L51" s="648">
        <v>133124188.73</v>
      </c>
      <c r="M51" s="644">
        <v>0.030193926967771928</v>
      </c>
      <c r="N51" s="644">
        <v>0.9750709746493845</v>
      </c>
      <c r="O51" s="648">
        <v>-3403502.27</v>
      </c>
      <c r="P51" s="650">
        <v>-0.02492902535061547</v>
      </c>
      <c r="Q51" s="668"/>
    </row>
    <row r="52" spans="2:17" ht="18.75" customHeight="1">
      <c r="B52" s="661"/>
      <c r="C52" s="670"/>
      <c r="D52" s="670"/>
      <c r="E52" s="663"/>
      <c r="F52" s="663" t="s">
        <v>590</v>
      </c>
      <c r="G52" s="670"/>
      <c r="H52" s="658"/>
      <c r="I52" s="767"/>
      <c r="J52" s="758" t="s">
        <v>26</v>
      </c>
      <c r="K52" s="648">
        <v>141807848</v>
      </c>
      <c r="L52" s="648">
        <v>136920853.83</v>
      </c>
      <c r="M52" s="644">
        <v>0.0310550494267639</v>
      </c>
      <c r="N52" s="644">
        <v>0.9655379145870686</v>
      </c>
      <c r="O52" s="648">
        <v>-4886994.169999987</v>
      </c>
      <c r="P52" s="650">
        <v>-0.03446208541293135</v>
      </c>
      <c r="Q52" s="668"/>
    </row>
    <row r="53" spans="2:17" ht="18.75" customHeight="1">
      <c r="B53" s="661"/>
      <c r="C53" s="670"/>
      <c r="D53" s="670"/>
      <c r="E53" s="663"/>
      <c r="F53" s="663" t="s">
        <v>590</v>
      </c>
      <c r="G53" s="670"/>
      <c r="H53" s="658"/>
      <c r="I53" s="767"/>
      <c r="J53" s="758" t="s">
        <v>28</v>
      </c>
      <c r="K53" s="648">
        <v>1779456</v>
      </c>
      <c r="L53" s="648">
        <v>1644945.37</v>
      </c>
      <c r="M53" s="644">
        <v>0.00037309042662779334</v>
      </c>
      <c r="N53" s="644">
        <v>0.9244091284077831</v>
      </c>
      <c r="O53" s="648">
        <v>-134510.63</v>
      </c>
      <c r="P53" s="650">
        <v>-0.07559087159221689</v>
      </c>
      <c r="Q53" s="668"/>
    </row>
    <row r="54" spans="2:17" ht="18.75" customHeight="1">
      <c r="B54" s="661"/>
      <c r="C54" s="670"/>
      <c r="D54" s="670"/>
      <c r="E54" s="663"/>
      <c r="F54" s="663" t="s">
        <v>590</v>
      </c>
      <c r="G54" s="670"/>
      <c r="H54" s="658"/>
      <c r="I54" s="767"/>
      <c r="J54" s="661"/>
      <c r="K54" s="648"/>
      <c r="L54" s="648"/>
      <c r="M54" s="644"/>
      <c r="N54" s="644" t="s">
        <v>590</v>
      </c>
      <c r="O54" s="648"/>
      <c r="P54" s="650"/>
      <c r="Q54" s="668"/>
    </row>
    <row r="55" spans="2:17" ht="18.75" customHeight="1">
      <c r="B55" s="661"/>
      <c r="C55" s="670"/>
      <c r="D55" s="670"/>
      <c r="E55" s="663"/>
      <c r="F55" s="663" t="s">
        <v>590</v>
      </c>
      <c r="G55" s="670"/>
      <c r="H55" s="658"/>
      <c r="I55" s="767"/>
      <c r="J55" s="665" t="s">
        <v>1497</v>
      </c>
      <c r="K55" s="659">
        <v>28636170</v>
      </c>
      <c r="L55" s="659">
        <v>28440346.53</v>
      </c>
      <c r="M55" s="660">
        <v>0.006450561346192294</v>
      </c>
      <c r="N55" s="660">
        <v>0.993161673855128</v>
      </c>
      <c r="O55" s="659">
        <v>-195823.4699999988</v>
      </c>
      <c r="P55" s="807">
        <v>-0.0068383261448719855</v>
      </c>
      <c r="Q55" s="668"/>
    </row>
    <row r="56" spans="2:17" ht="18.75" customHeight="1">
      <c r="B56" s="661"/>
      <c r="C56" s="670"/>
      <c r="D56" s="670"/>
      <c r="E56" s="663"/>
      <c r="F56" s="663" t="s">
        <v>590</v>
      </c>
      <c r="G56" s="670"/>
      <c r="H56" s="658"/>
      <c r="I56" s="767"/>
      <c r="J56" s="758" t="s">
        <v>29</v>
      </c>
      <c r="K56" s="648">
        <v>12143387</v>
      </c>
      <c r="L56" s="648">
        <v>11960757.36</v>
      </c>
      <c r="M56" s="644">
        <v>0.0027128220472354765</v>
      </c>
      <c r="N56" s="644">
        <v>0.9849605682500278</v>
      </c>
      <c r="O56" s="648">
        <v>-182629.6400000006</v>
      </c>
      <c r="P56" s="650">
        <v>-0.015039431749972276</v>
      </c>
      <c r="Q56" s="668"/>
    </row>
    <row r="57" spans="2:17" ht="18.75" customHeight="1">
      <c r="B57" s="661"/>
      <c r="C57" s="670"/>
      <c r="D57" s="670"/>
      <c r="E57" s="663"/>
      <c r="F57" s="663" t="s">
        <v>590</v>
      </c>
      <c r="G57" s="670"/>
      <c r="H57" s="658"/>
      <c r="I57" s="767"/>
      <c r="J57" s="758" t="s">
        <v>26</v>
      </c>
      <c r="K57" s="648">
        <v>16492783</v>
      </c>
      <c r="L57" s="648">
        <v>16479589.17</v>
      </c>
      <c r="M57" s="644">
        <v>0.003737739298956817</v>
      </c>
      <c r="N57" s="644">
        <v>0.999200024034755</v>
      </c>
      <c r="O57" s="648">
        <v>-13193.830000000075</v>
      </c>
      <c r="P57" s="650">
        <v>-0.0007999759652449241</v>
      </c>
      <c r="Q57" s="668"/>
    </row>
    <row r="58" spans="2:17" ht="18.75" customHeight="1">
      <c r="B58" s="661"/>
      <c r="C58" s="670"/>
      <c r="D58" s="670"/>
      <c r="E58" s="663"/>
      <c r="F58" s="663" t="s">
        <v>590</v>
      </c>
      <c r="G58" s="670"/>
      <c r="H58" s="658"/>
      <c r="I58" s="767"/>
      <c r="J58" s="666"/>
      <c r="K58" s="648"/>
      <c r="L58" s="648"/>
      <c r="M58" s="644"/>
      <c r="N58" s="644" t="s">
        <v>590</v>
      </c>
      <c r="O58" s="648"/>
      <c r="P58" s="650"/>
      <c r="Q58" s="668"/>
    </row>
    <row r="59" spans="2:17" ht="18.75" customHeight="1">
      <c r="B59" s="664"/>
      <c r="C59" s="662"/>
      <c r="D59" s="662"/>
      <c r="E59" s="663"/>
      <c r="F59" s="663" t="s">
        <v>590</v>
      </c>
      <c r="G59" s="662"/>
      <c r="H59" s="658"/>
      <c r="I59" s="767"/>
      <c r="J59" s="665" t="s">
        <v>1204</v>
      </c>
      <c r="K59" s="648">
        <v>0</v>
      </c>
      <c r="L59" s="648">
        <v>0</v>
      </c>
      <c r="M59" s="644">
        <v>0</v>
      </c>
      <c r="N59" s="644" t="s">
        <v>590</v>
      </c>
      <c r="O59" s="648">
        <v>0</v>
      </c>
      <c r="P59" s="650"/>
      <c r="Q59" s="668"/>
    </row>
    <row r="60" spans="2:17" ht="18.75" customHeight="1">
      <c r="B60" s="661"/>
      <c r="C60" s="662"/>
      <c r="D60" s="662"/>
      <c r="E60" s="663"/>
      <c r="F60" s="663" t="s">
        <v>590</v>
      </c>
      <c r="G60" s="662"/>
      <c r="H60" s="658"/>
      <c r="I60" s="767"/>
      <c r="J60" s="661"/>
      <c r="K60" s="648"/>
      <c r="L60" s="648"/>
      <c r="M60" s="644"/>
      <c r="N60" s="644" t="s">
        <v>590</v>
      </c>
      <c r="O60" s="648"/>
      <c r="P60" s="650"/>
      <c r="Q60" s="668"/>
    </row>
    <row r="61" spans="2:17" ht="18.75" customHeight="1">
      <c r="B61" s="655"/>
      <c r="C61" s="656"/>
      <c r="D61" s="656"/>
      <c r="E61" s="657"/>
      <c r="F61" s="657" t="s">
        <v>590</v>
      </c>
      <c r="G61" s="656"/>
      <c r="H61" s="658"/>
      <c r="I61" s="767"/>
      <c r="J61" s="664" t="s">
        <v>1498</v>
      </c>
      <c r="K61" s="659">
        <v>32765403</v>
      </c>
      <c r="L61" s="659">
        <v>29639550.05</v>
      </c>
      <c r="M61" s="660">
        <v>0.006722552964303205</v>
      </c>
      <c r="N61" s="660">
        <v>0.9045989774641259</v>
      </c>
      <c r="O61" s="659">
        <v>-3125852.95</v>
      </c>
      <c r="P61" s="807">
        <v>-0.09540102253587418</v>
      </c>
      <c r="Q61" s="668"/>
    </row>
    <row r="62" spans="2:17" ht="18.75" customHeight="1">
      <c r="B62" s="655"/>
      <c r="C62" s="656"/>
      <c r="D62" s="656"/>
      <c r="E62" s="657"/>
      <c r="F62" s="657" t="s">
        <v>590</v>
      </c>
      <c r="G62" s="656"/>
      <c r="H62" s="658"/>
      <c r="I62" s="767"/>
      <c r="J62" s="665" t="s">
        <v>92</v>
      </c>
      <c r="K62" s="659">
        <v>27425105</v>
      </c>
      <c r="L62" s="659">
        <v>27057631.82</v>
      </c>
      <c r="M62" s="660">
        <v>0.006136947514105927</v>
      </c>
      <c r="N62" s="660">
        <v>0.9866008469247429</v>
      </c>
      <c r="O62" s="659">
        <v>-367473.18</v>
      </c>
      <c r="P62" s="807">
        <v>-0.01339915307525713</v>
      </c>
      <c r="Q62" s="668"/>
    </row>
    <row r="63" spans="2:17" ht="18.75" customHeight="1">
      <c r="B63" s="664"/>
      <c r="C63" s="656"/>
      <c r="D63" s="656"/>
      <c r="E63" s="657"/>
      <c r="F63" s="657" t="s">
        <v>590</v>
      </c>
      <c r="G63" s="656"/>
      <c r="H63" s="658"/>
      <c r="I63" s="767"/>
      <c r="J63" s="758" t="s">
        <v>29</v>
      </c>
      <c r="K63" s="648">
        <v>2697319</v>
      </c>
      <c r="L63" s="648">
        <v>2612139.7</v>
      </c>
      <c r="M63" s="644">
        <v>0.0005924599885553622</v>
      </c>
      <c r="N63" s="644">
        <v>0.9684207540895238</v>
      </c>
      <c r="O63" s="648">
        <v>-85179.29999999981</v>
      </c>
      <c r="P63" s="650">
        <v>-0.03157924591047622</v>
      </c>
      <c r="Q63" s="668"/>
    </row>
    <row r="64" spans="2:17" ht="18.75" customHeight="1">
      <c r="B64" s="667"/>
      <c r="C64" s="662"/>
      <c r="D64" s="662"/>
      <c r="E64" s="663"/>
      <c r="F64" s="663" t="s">
        <v>590</v>
      </c>
      <c r="G64" s="662"/>
      <c r="H64" s="658"/>
      <c r="I64" s="767"/>
      <c r="J64" s="758" t="s">
        <v>26</v>
      </c>
      <c r="K64" s="648">
        <v>23581855</v>
      </c>
      <c r="L64" s="648">
        <v>23351465.85</v>
      </c>
      <c r="M64" s="644">
        <v>0.005296351182994512</v>
      </c>
      <c r="N64" s="644">
        <v>0.9902302363406102</v>
      </c>
      <c r="O64" s="648">
        <v>-230389.1499999985</v>
      </c>
      <c r="P64" s="650">
        <v>-0.009769763659389752</v>
      </c>
      <c r="Q64" s="668"/>
    </row>
    <row r="65" spans="2:17" ht="18.75" customHeight="1">
      <c r="B65" s="661"/>
      <c r="C65" s="662"/>
      <c r="D65" s="662"/>
      <c r="E65" s="663"/>
      <c r="F65" s="663" t="s">
        <v>590</v>
      </c>
      <c r="G65" s="662"/>
      <c r="H65" s="658"/>
      <c r="I65" s="767"/>
      <c r="J65" s="758" t="s">
        <v>28</v>
      </c>
      <c r="K65" s="648">
        <v>1145931</v>
      </c>
      <c r="L65" s="648">
        <v>1094026.27</v>
      </c>
      <c r="M65" s="644">
        <v>0.000248136342556053</v>
      </c>
      <c r="N65" s="644">
        <v>0.9547051873105799</v>
      </c>
      <c r="O65" s="648">
        <v>-51904.73</v>
      </c>
      <c r="P65" s="650">
        <v>-0.045294812689420205</v>
      </c>
      <c r="Q65" s="668"/>
    </row>
    <row r="66" spans="2:17" ht="18.75" customHeight="1">
      <c r="B66" s="661"/>
      <c r="C66" s="662"/>
      <c r="D66" s="662"/>
      <c r="E66" s="663"/>
      <c r="F66" s="663" t="s">
        <v>590</v>
      </c>
      <c r="G66" s="662"/>
      <c r="H66" s="658"/>
      <c r="I66" s="767"/>
      <c r="J66" s="666"/>
      <c r="K66" s="648"/>
      <c r="L66" s="648"/>
      <c r="M66" s="644"/>
      <c r="N66" s="644" t="s">
        <v>590</v>
      </c>
      <c r="O66" s="648"/>
      <c r="P66" s="650"/>
      <c r="Q66" s="668"/>
    </row>
    <row r="67" spans="2:17" ht="18.75" customHeight="1">
      <c r="B67" s="661"/>
      <c r="C67" s="662"/>
      <c r="D67" s="662"/>
      <c r="E67" s="663"/>
      <c r="F67" s="663" t="s">
        <v>590</v>
      </c>
      <c r="G67" s="662"/>
      <c r="H67" s="658"/>
      <c r="I67" s="767"/>
      <c r="J67" s="665" t="s">
        <v>1497</v>
      </c>
      <c r="K67" s="659">
        <v>5340298</v>
      </c>
      <c r="L67" s="659">
        <v>2581918.23</v>
      </c>
      <c r="M67" s="660">
        <v>0.0005856054501972774</v>
      </c>
      <c r="N67" s="660">
        <v>0.4834783058922929</v>
      </c>
      <c r="O67" s="659">
        <v>-2758379.77</v>
      </c>
      <c r="P67" s="807">
        <v>-0.5165216941077071</v>
      </c>
      <c r="Q67" s="668"/>
    </row>
    <row r="68" spans="2:17" ht="18.75" customHeight="1">
      <c r="B68" s="664"/>
      <c r="C68" s="662"/>
      <c r="D68" s="662"/>
      <c r="E68" s="663"/>
      <c r="F68" s="663" t="s">
        <v>590</v>
      </c>
      <c r="G68" s="662"/>
      <c r="H68" s="658"/>
      <c r="I68" s="767"/>
      <c r="J68" s="758" t="s">
        <v>29</v>
      </c>
      <c r="K68" s="648">
        <v>268759</v>
      </c>
      <c r="L68" s="648">
        <v>238421.22</v>
      </c>
      <c r="M68" s="644">
        <v>5.4076370139221683E-05</v>
      </c>
      <c r="N68" s="644">
        <v>0.8871190174096495</v>
      </c>
      <c r="O68" s="648">
        <v>-30337.78</v>
      </c>
      <c r="P68" s="650">
        <v>-0.11288098259035045</v>
      </c>
      <c r="Q68" s="668"/>
    </row>
    <row r="69" spans="2:17" ht="18.75" customHeight="1">
      <c r="B69" s="661"/>
      <c r="C69" s="662"/>
      <c r="D69" s="662"/>
      <c r="E69" s="663"/>
      <c r="F69" s="663" t="s">
        <v>590</v>
      </c>
      <c r="G69" s="662"/>
      <c r="H69" s="658"/>
      <c r="I69" s="767"/>
      <c r="J69" s="758" t="s">
        <v>26</v>
      </c>
      <c r="K69" s="648">
        <v>5071539</v>
      </c>
      <c r="L69" s="648">
        <v>2343497.01</v>
      </c>
      <c r="M69" s="644">
        <v>0.0005315290800580555</v>
      </c>
      <c r="N69" s="644">
        <v>0.4620879401696408</v>
      </c>
      <c r="O69" s="648">
        <v>-2728041.99</v>
      </c>
      <c r="P69" s="650">
        <v>-0.5379120598303593</v>
      </c>
      <c r="Q69" s="668"/>
    </row>
    <row r="70" spans="2:17" ht="18.75" customHeight="1">
      <c r="B70" s="661"/>
      <c r="C70" s="662"/>
      <c r="D70" s="662"/>
      <c r="E70" s="663"/>
      <c r="F70" s="663" t="s">
        <v>590</v>
      </c>
      <c r="G70" s="662"/>
      <c r="H70" s="658"/>
      <c r="I70" s="767"/>
      <c r="J70" s="665" t="s">
        <v>23</v>
      </c>
      <c r="K70" s="648">
        <v>0</v>
      </c>
      <c r="L70" s="648">
        <v>0</v>
      </c>
      <c r="M70" s="644">
        <v>0</v>
      </c>
      <c r="N70" s="644" t="s">
        <v>590</v>
      </c>
      <c r="O70" s="648">
        <v>0</v>
      </c>
      <c r="P70" s="650"/>
      <c r="Q70" s="668"/>
    </row>
    <row r="71" spans="2:17" ht="18.75" customHeight="1">
      <c r="B71" s="661"/>
      <c r="C71" s="662"/>
      <c r="D71" s="662"/>
      <c r="E71" s="663"/>
      <c r="F71" s="663" t="s">
        <v>590</v>
      </c>
      <c r="G71" s="662"/>
      <c r="H71" s="658"/>
      <c r="I71" s="767"/>
      <c r="J71" s="661"/>
      <c r="K71" s="648"/>
      <c r="L71" s="648"/>
      <c r="M71" s="644"/>
      <c r="N71" s="644" t="s">
        <v>590</v>
      </c>
      <c r="O71" s="648"/>
      <c r="P71" s="650"/>
      <c r="Q71" s="668"/>
    </row>
    <row r="72" spans="2:17" ht="18.75" customHeight="1">
      <c r="B72" s="661"/>
      <c r="C72" s="662"/>
      <c r="D72" s="662"/>
      <c r="E72" s="663"/>
      <c r="F72" s="663" t="s">
        <v>590</v>
      </c>
      <c r="G72" s="662"/>
      <c r="H72" s="658"/>
      <c r="I72" s="767"/>
      <c r="J72" s="664" t="s">
        <v>280</v>
      </c>
      <c r="K72" s="659">
        <v>649077412</v>
      </c>
      <c r="L72" s="659">
        <v>642151514.2400001</v>
      </c>
      <c r="M72" s="660">
        <v>0.14564652831448446</v>
      </c>
      <c r="N72" s="660">
        <v>0.989329627511364</v>
      </c>
      <c r="O72" s="659">
        <v>-6925897.759999871</v>
      </c>
      <c r="P72" s="807">
        <v>-0.010670372488636027</v>
      </c>
      <c r="Q72" s="668"/>
    </row>
    <row r="73" spans="2:17" ht="18.75" customHeight="1">
      <c r="B73" s="661"/>
      <c r="C73" s="662"/>
      <c r="D73" s="662"/>
      <c r="E73" s="663"/>
      <c r="F73" s="663" t="s">
        <v>590</v>
      </c>
      <c r="G73" s="662"/>
      <c r="H73" s="658"/>
      <c r="I73" s="767"/>
      <c r="J73" s="665" t="s">
        <v>92</v>
      </c>
      <c r="K73" s="659">
        <v>648806067</v>
      </c>
      <c r="L73" s="659">
        <v>641895865.3000001</v>
      </c>
      <c r="M73" s="660">
        <v>0.1455885445213257</v>
      </c>
      <c r="N73" s="660">
        <v>0.9893493571477346</v>
      </c>
      <c r="O73" s="659">
        <v>-6910201.6999999285</v>
      </c>
      <c r="P73" s="807">
        <v>-0.010650642852265326</v>
      </c>
      <c r="Q73" s="668"/>
    </row>
    <row r="74" spans="2:17" ht="18.75" customHeight="1">
      <c r="B74" s="661"/>
      <c r="C74" s="662"/>
      <c r="D74" s="662"/>
      <c r="E74" s="663"/>
      <c r="F74" s="663" t="s">
        <v>590</v>
      </c>
      <c r="G74" s="662"/>
      <c r="H74" s="658"/>
      <c r="I74" s="767"/>
      <c r="J74" s="758" t="s">
        <v>29</v>
      </c>
      <c r="K74" s="648">
        <v>22990141</v>
      </c>
      <c r="L74" s="648">
        <v>22927764.36</v>
      </c>
      <c r="M74" s="644">
        <v>0.005200251353450062</v>
      </c>
      <c r="N74" s="644">
        <v>0.9972868091587607</v>
      </c>
      <c r="O74" s="648">
        <v>-62376.640000000596</v>
      </c>
      <c r="P74" s="650">
        <v>-0.0027131908412393207</v>
      </c>
      <c r="Q74" s="668"/>
    </row>
    <row r="75" spans="2:17" ht="18.75" customHeight="1">
      <c r="B75" s="661"/>
      <c r="C75" s="662"/>
      <c r="D75" s="662"/>
      <c r="E75" s="663"/>
      <c r="F75" s="663" t="s">
        <v>590</v>
      </c>
      <c r="G75" s="662"/>
      <c r="H75" s="658"/>
      <c r="I75" s="767"/>
      <c r="J75" s="758" t="s">
        <v>26</v>
      </c>
      <c r="K75" s="648">
        <v>504705527</v>
      </c>
      <c r="L75" s="648">
        <v>498422456.97</v>
      </c>
      <c r="M75" s="644">
        <v>0.11304730874546323</v>
      </c>
      <c r="N75" s="644">
        <v>0.9875510179820163</v>
      </c>
      <c r="O75" s="648">
        <v>-6283070.029999971</v>
      </c>
      <c r="P75" s="650">
        <v>-0.01244898201798367</v>
      </c>
      <c r="Q75" s="668"/>
    </row>
    <row r="76" spans="2:17" ht="18.75" customHeight="1">
      <c r="B76" s="661"/>
      <c r="C76" s="662"/>
      <c r="D76" s="662"/>
      <c r="E76" s="663"/>
      <c r="F76" s="663" t="s">
        <v>590</v>
      </c>
      <c r="G76" s="662"/>
      <c r="H76" s="658"/>
      <c r="I76" s="767"/>
      <c r="J76" s="758" t="s">
        <v>28</v>
      </c>
      <c r="K76" s="648">
        <v>121110399</v>
      </c>
      <c r="L76" s="648">
        <v>120545643.97</v>
      </c>
      <c r="M76" s="644">
        <v>0.027340984422412385</v>
      </c>
      <c r="N76" s="644">
        <v>0.9953368576549732</v>
      </c>
      <c r="O76" s="648">
        <v>-564755.0300000012</v>
      </c>
      <c r="P76" s="650">
        <v>-0.004663142345026881</v>
      </c>
      <c r="Q76" s="668"/>
    </row>
    <row r="77" spans="2:17" ht="18.75" customHeight="1">
      <c r="B77" s="661"/>
      <c r="C77" s="662"/>
      <c r="D77" s="662"/>
      <c r="E77" s="663"/>
      <c r="F77" s="663" t="s">
        <v>590</v>
      </c>
      <c r="G77" s="662"/>
      <c r="H77" s="658"/>
      <c r="I77" s="767"/>
      <c r="J77" s="665" t="s">
        <v>23</v>
      </c>
      <c r="K77" s="648">
        <v>271345</v>
      </c>
      <c r="L77" s="648">
        <v>255648.94</v>
      </c>
      <c r="M77" s="644">
        <v>5.798379315876194E-05</v>
      </c>
      <c r="N77" s="644">
        <v>0.9421546002321768</v>
      </c>
      <c r="O77" s="648">
        <v>-15696.06</v>
      </c>
      <c r="P77" s="650">
        <v>-0.05784539976782324</v>
      </c>
      <c r="Q77" s="668"/>
    </row>
    <row r="78" spans="2:17" ht="18.75" customHeight="1">
      <c r="B78" s="661"/>
      <c r="C78" s="662"/>
      <c r="D78" s="662"/>
      <c r="E78" s="663"/>
      <c r="F78" s="663" t="s">
        <v>590</v>
      </c>
      <c r="G78" s="662"/>
      <c r="H78" s="658"/>
      <c r="I78" s="767"/>
      <c r="J78" s="661"/>
      <c r="K78" s="648"/>
      <c r="L78" s="648"/>
      <c r="M78" s="644"/>
      <c r="N78" s="644" t="s">
        <v>590</v>
      </c>
      <c r="O78" s="648"/>
      <c r="P78" s="650"/>
      <c r="Q78" s="668"/>
    </row>
    <row r="79" spans="2:17" ht="18.75" customHeight="1">
      <c r="B79" s="661"/>
      <c r="C79" s="662"/>
      <c r="D79" s="662"/>
      <c r="E79" s="663"/>
      <c r="F79" s="663" t="s">
        <v>590</v>
      </c>
      <c r="G79" s="662"/>
      <c r="H79" s="658"/>
      <c r="I79" s="767"/>
      <c r="J79" s="664" t="s">
        <v>1207</v>
      </c>
      <c r="K79" s="659">
        <v>48208071</v>
      </c>
      <c r="L79" s="659">
        <v>47038592.56</v>
      </c>
      <c r="M79" s="660">
        <v>0.010668833680586817</v>
      </c>
      <c r="N79" s="660">
        <v>0.9757410239459696</v>
      </c>
      <c r="O79" s="659">
        <v>-1169478.44</v>
      </c>
      <c r="P79" s="807">
        <v>-0.024258976054030407</v>
      </c>
      <c r="Q79" s="668"/>
    </row>
    <row r="80" spans="2:17" ht="18.75" customHeight="1">
      <c r="B80" s="661"/>
      <c r="C80" s="662"/>
      <c r="D80" s="662"/>
      <c r="E80" s="663"/>
      <c r="F80" s="663" t="s">
        <v>590</v>
      </c>
      <c r="G80" s="662"/>
      <c r="H80" s="658"/>
      <c r="I80" s="767"/>
      <c r="J80" s="665" t="s">
        <v>92</v>
      </c>
      <c r="K80" s="659">
        <v>48208038</v>
      </c>
      <c r="L80" s="659">
        <v>47038592.56</v>
      </c>
      <c r="M80" s="660">
        <v>0.010668833680586817</v>
      </c>
      <c r="N80" s="660">
        <v>0.9757416918730442</v>
      </c>
      <c r="O80" s="659">
        <v>-1169445.44</v>
      </c>
      <c r="P80" s="807">
        <v>-0.024258308126955876</v>
      </c>
      <c r="Q80" s="668"/>
    </row>
    <row r="81" spans="2:17" ht="18.75" customHeight="1">
      <c r="B81" s="666"/>
      <c r="C81" s="662"/>
      <c r="D81" s="662"/>
      <c r="E81" s="663"/>
      <c r="F81" s="663" t="s">
        <v>590</v>
      </c>
      <c r="G81" s="662"/>
      <c r="H81" s="658"/>
      <c r="I81" s="767"/>
      <c r="J81" s="758" t="s">
        <v>29</v>
      </c>
      <c r="K81" s="648">
        <v>0</v>
      </c>
      <c r="L81" s="648">
        <v>0</v>
      </c>
      <c r="M81" s="644">
        <v>0</v>
      </c>
      <c r="N81" s="644" t="s">
        <v>590</v>
      </c>
      <c r="O81" s="648">
        <v>0</v>
      </c>
      <c r="P81" s="650"/>
      <c r="Q81" s="668"/>
    </row>
    <row r="82" spans="2:17" ht="18.75" customHeight="1">
      <c r="B82" s="661"/>
      <c r="C82" s="662"/>
      <c r="D82" s="662"/>
      <c r="E82" s="663"/>
      <c r="F82" s="663" t="s">
        <v>590</v>
      </c>
      <c r="G82" s="662"/>
      <c r="H82" s="658"/>
      <c r="I82" s="767"/>
      <c r="J82" s="758" t="s">
        <v>26</v>
      </c>
      <c r="K82" s="648">
        <v>27769206</v>
      </c>
      <c r="L82" s="648">
        <v>26913317.84</v>
      </c>
      <c r="M82" s="644">
        <v>0.006104215628081922</v>
      </c>
      <c r="N82" s="644">
        <v>0.9691785152229415</v>
      </c>
      <c r="O82" s="648">
        <v>-855888.16</v>
      </c>
      <c r="P82" s="650">
        <v>-0.03082148477705845</v>
      </c>
      <c r="Q82" s="668"/>
    </row>
    <row r="83" spans="2:17" ht="18.75" customHeight="1">
      <c r="B83" s="661"/>
      <c r="C83" s="662"/>
      <c r="D83" s="662"/>
      <c r="E83" s="663"/>
      <c r="F83" s="663" t="s">
        <v>590</v>
      </c>
      <c r="G83" s="662"/>
      <c r="H83" s="658"/>
      <c r="I83" s="767"/>
      <c r="J83" s="758" t="s">
        <v>28</v>
      </c>
      <c r="K83" s="648">
        <v>20438832</v>
      </c>
      <c r="L83" s="648">
        <v>20125274.72</v>
      </c>
      <c r="M83" s="644">
        <v>0.004564618052504894</v>
      </c>
      <c r="N83" s="644">
        <v>0.9846587476231518</v>
      </c>
      <c r="O83" s="648">
        <v>-313557.2800000012</v>
      </c>
      <c r="P83" s="650">
        <v>-0.015341252376848207</v>
      </c>
      <c r="Q83" s="668"/>
    </row>
    <row r="84" spans="2:17" ht="18.75" customHeight="1">
      <c r="B84" s="661"/>
      <c r="C84" s="662"/>
      <c r="D84" s="662"/>
      <c r="E84" s="663"/>
      <c r="F84" s="663" t="s">
        <v>590</v>
      </c>
      <c r="G84" s="662"/>
      <c r="H84" s="658"/>
      <c r="I84" s="767"/>
      <c r="J84" s="665" t="s">
        <v>23</v>
      </c>
      <c r="K84" s="648">
        <v>33</v>
      </c>
      <c r="L84" s="648">
        <v>0</v>
      </c>
      <c r="M84" s="644">
        <v>0</v>
      </c>
      <c r="N84" s="644">
        <v>0</v>
      </c>
      <c r="O84" s="648">
        <v>-33</v>
      </c>
      <c r="P84" s="650">
        <v>-1</v>
      </c>
      <c r="Q84" s="668"/>
    </row>
    <row r="85" spans="2:17" ht="18.75" customHeight="1">
      <c r="B85" s="661"/>
      <c r="C85" s="662"/>
      <c r="D85" s="662"/>
      <c r="E85" s="663"/>
      <c r="F85" s="663" t="s">
        <v>590</v>
      </c>
      <c r="G85" s="662"/>
      <c r="H85" s="658"/>
      <c r="I85" s="767"/>
      <c r="J85" s="661"/>
      <c r="K85" s="648"/>
      <c r="L85" s="648"/>
      <c r="M85" s="644"/>
      <c r="N85" s="644" t="s">
        <v>590</v>
      </c>
      <c r="O85" s="648"/>
      <c r="P85" s="650"/>
      <c r="Q85" s="668"/>
    </row>
    <row r="86" spans="2:17" ht="18.75" customHeight="1">
      <c r="B86" s="661"/>
      <c r="C86" s="662"/>
      <c r="D86" s="662"/>
      <c r="E86" s="663"/>
      <c r="F86" s="663" t="s">
        <v>590</v>
      </c>
      <c r="G86" s="662"/>
      <c r="H86" s="658"/>
      <c r="I86" s="767"/>
      <c r="J86" s="664" t="s">
        <v>1411</v>
      </c>
      <c r="K86" s="659">
        <v>14574710</v>
      </c>
      <c r="L86" s="659">
        <v>14522729.350000001</v>
      </c>
      <c r="M86" s="660">
        <v>0.0032939034862850647</v>
      </c>
      <c r="N86" s="660">
        <v>0.9964335036511877</v>
      </c>
      <c r="O86" s="659">
        <v>-51980.64999999851</v>
      </c>
      <c r="P86" s="807">
        <v>-0.003566496348812327</v>
      </c>
      <c r="Q86" s="668"/>
    </row>
    <row r="87" spans="2:17" ht="18.75" customHeight="1">
      <c r="B87" s="661"/>
      <c r="C87" s="662"/>
      <c r="D87" s="662"/>
      <c r="E87" s="663"/>
      <c r="F87" s="663" t="s">
        <v>590</v>
      </c>
      <c r="G87" s="662"/>
      <c r="H87" s="658"/>
      <c r="I87" s="767"/>
      <c r="J87" s="758" t="s">
        <v>29</v>
      </c>
      <c r="K87" s="648">
        <v>206517</v>
      </c>
      <c r="L87" s="648">
        <v>198880.42</v>
      </c>
      <c r="M87" s="644">
        <v>4.510811246316023E-05</v>
      </c>
      <c r="N87" s="644">
        <v>0.9630220272423095</v>
      </c>
      <c r="O87" s="648">
        <v>-7636.579999999987</v>
      </c>
      <c r="P87" s="650">
        <v>-0.03697797275769059</v>
      </c>
      <c r="Q87" s="668"/>
    </row>
    <row r="88" spans="2:17" ht="18.75" customHeight="1">
      <c r="B88" s="661"/>
      <c r="C88" s="662"/>
      <c r="D88" s="662"/>
      <c r="E88" s="663"/>
      <c r="F88" s="663" t="s">
        <v>590</v>
      </c>
      <c r="G88" s="662"/>
      <c r="H88" s="658"/>
      <c r="I88" s="767"/>
      <c r="J88" s="758" t="s">
        <v>26</v>
      </c>
      <c r="K88" s="648">
        <v>9908300</v>
      </c>
      <c r="L88" s="648">
        <v>9878849.88</v>
      </c>
      <c r="M88" s="644">
        <v>0.002240624146880407</v>
      </c>
      <c r="N88" s="644">
        <v>0.9970277323052391</v>
      </c>
      <c r="O88" s="648">
        <v>-29450.11999999918</v>
      </c>
      <c r="P88" s="650">
        <v>-0.0029722676947608754</v>
      </c>
      <c r="Q88" s="668"/>
    </row>
    <row r="89" spans="2:17" ht="18.75" customHeight="1">
      <c r="B89" s="661"/>
      <c r="C89" s="662"/>
      <c r="D89" s="662"/>
      <c r="E89" s="663"/>
      <c r="F89" s="663" t="s">
        <v>590</v>
      </c>
      <c r="G89" s="662"/>
      <c r="H89" s="658"/>
      <c r="I89" s="767"/>
      <c r="J89" s="758" t="s">
        <v>28</v>
      </c>
      <c r="K89" s="648">
        <v>4459893</v>
      </c>
      <c r="L89" s="648">
        <v>4444999.05</v>
      </c>
      <c r="M89" s="644">
        <v>0.0010081712269414977</v>
      </c>
      <c r="N89" s="644">
        <v>0.9966604692085662</v>
      </c>
      <c r="O89" s="648">
        <v>-14893.950000000186</v>
      </c>
      <c r="P89" s="650">
        <v>-0.003339530791433827</v>
      </c>
      <c r="Q89" s="668"/>
    </row>
    <row r="90" spans="2:17" ht="18.75" customHeight="1">
      <c r="B90" s="671"/>
      <c r="C90" s="662"/>
      <c r="D90" s="662"/>
      <c r="E90" s="663"/>
      <c r="F90" s="663" t="s">
        <v>590</v>
      </c>
      <c r="G90" s="662"/>
      <c r="H90" s="658"/>
      <c r="I90" s="767"/>
      <c r="J90" s="666"/>
      <c r="K90" s="648"/>
      <c r="L90" s="648"/>
      <c r="M90" s="644"/>
      <c r="N90" s="644" t="s">
        <v>590</v>
      </c>
      <c r="O90" s="648"/>
      <c r="P90" s="650"/>
      <c r="Q90" s="668"/>
    </row>
    <row r="91" spans="2:17" ht="18.75" customHeight="1">
      <c r="B91" s="671"/>
      <c r="C91" s="662"/>
      <c r="D91" s="662"/>
      <c r="E91" s="663"/>
      <c r="F91" s="663" t="s">
        <v>590</v>
      </c>
      <c r="G91" s="662"/>
      <c r="H91" s="658"/>
      <c r="I91" s="767"/>
      <c r="J91" s="664" t="s">
        <v>87</v>
      </c>
      <c r="K91" s="659">
        <v>36933168</v>
      </c>
      <c r="L91" s="659">
        <v>31824750.49</v>
      </c>
      <c r="M91" s="660">
        <v>0.007218178763977537</v>
      </c>
      <c r="N91" s="660">
        <v>0.8616848273075302</v>
      </c>
      <c r="O91" s="659">
        <v>-5108417.51</v>
      </c>
      <c r="P91" s="807">
        <v>-0.13831517269246985</v>
      </c>
      <c r="Q91" s="668"/>
    </row>
    <row r="92" spans="2:17" ht="18.75" customHeight="1">
      <c r="B92" s="671"/>
      <c r="C92" s="662"/>
      <c r="D92" s="662"/>
      <c r="E92" s="663"/>
      <c r="F92" s="663" t="s">
        <v>590</v>
      </c>
      <c r="G92" s="662"/>
      <c r="H92" s="658"/>
      <c r="I92" s="767"/>
      <c r="J92" s="758" t="s">
        <v>491</v>
      </c>
      <c r="K92" s="648">
        <v>40000</v>
      </c>
      <c r="L92" s="648">
        <v>22192.39</v>
      </c>
      <c r="M92" s="644">
        <v>5.03346093067539E-06</v>
      </c>
      <c r="N92" s="644">
        <v>0.55480975</v>
      </c>
      <c r="O92" s="648">
        <v>-17807.61</v>
      </c>
      <c r="P92" s="650">
        <v>-0.44519025</v>
      </c>
      <c r="Q92" s="668"/>
    </row>
    <row r="93" spans="2:17" ht="18.75" customHeight="1">
      <c r="B93" s="671"/>
      <c r="C93" s="662"/>
      <c r="D93" s="662"/>
      <c r="E93" s="663"/>
      <c r="F93" s="663" t="s">
        <v>590</v>
      </c>
      <c r="G93" s="662"/>
      <c r="H93" s="658"/>
      <c r="I93" s="767"/>
      <c r="J93" s="758" t="s">
        <v>492</v>
      </c>
      <c r="K93" s="648">
        <v>34878164</v>
      </c>
      <c r="L93" s="648">
        <v>31144403.24</v>
      </c>
      <c r="M93" s="644">
        <v>0.007063869052307571</v>
      </c>
      <c r="N93" s="644">
        <v>0.8929484717142794</v>
      </c>
      <c r="O93" s="648">
        <v>-3733760.76</v>
      </c>
      <c r="P93" s="650">
        <v>-0.10705152828572059</v>
      </c>
      <c r="Q93" s="668"/>
    </row>
    <row r="94" spans="2:17" ht="18.75" customHeight="1">
      <c r="B94" s="671"/>
      <c r="C94" s="662"/>
      <c r="D94" s="662"/>
      <c r="E94" s="663"/>
      <c r="F94" s="663" t="s">
        <v>590</v>
      </c>
      <c r="G94" s="662"/>
      <c r="H94" s="658"/>
      <c r="I94" s="767"/>
      <c r="J94" s="758" t="s">
        <v>493</v>
      </c>
      <c r="K94" s="648">
        <v>2015004</v>
      </c>
      <c r="L94" s="648">
        <v>658154.86</v>
      </c>
      <c r="M94" s="644">
        <v>0.00014927625073929085</v>
      </c>
      <c r="N94" s="644"/>
      <c r="O94" s="648">
        <v>-1356849.14</v>
      </c>
      <c r="P94" s="650"/>
      <c r="Q94" s="668"/>
    </row>
    <row r="95" spans="2:17" ht="18.75" customHeight="1">
      <c r="B95" s="671"/>
      <c r="C95" s="662"/>
      <c r="D95" s="662"/>
      <c r="E95" s="663"/>
      <c r="F95" s="663"/>
      <c r="G95" s="662"/>
      <c r="H95" s="658"/>
      <c r="I95" s="767"/>
      <c r="J95" s="758"/>
      <c r="K95" s="648"/>
      <c r="L95" s="648"/>
      <c r="M95" s="644"/>
      <c r="N95" s="644"/>
      <c r="O95" s="648"/>
      <c r="P95" s="650"/>
      <c r="Q95" s="668"/>
    </row>
    <row r="96" spans="2:17" ht="18.75" customHeight="1">
      <c r="B96" s="671"/>
      <c r="C96" s="662"/>
      <c r="D96" s="662"/>
      <c r="E96" s="663"/>
      <c r="F96" s="663"/>
      <c r="G96" s="662"/>
      <c r="H96" s="658"/>
      <c r="I96" s="767"/>
      <c r="J96" s="664" t="s">
        <v>494</v>
      </c>
      <c r="K96" s="659">
        <v>3647000</v>
      </c>
      <c r="L96" s="659">
        <v>2445902.07</v>
      </c>
      <c r="M96" s="644">
        <v>0.0005547555945800819</v>
      </c>
      <c r="N96" s="644">
        <v>0.6706613846997533</v>
      </c>
      <c r="O96" s="648">
        <v>-1201097.93</v>
      </c>
      <c r="P96" s="650">
        <v>-0.3293386153002467</v>
      </c>
      <c r="Q96" s="668"/>
    </row>
    <row r="97" spans="2:17" ht="18.75" customHeight="1">
      <c r="B97" s="671"/>
      <c r="C97" s="662"/>
      <c r="D97" s="662"/>
      <c r="E97" s="663"/>
      <c r="F97" s="663"/>
      <c r="G97" s="662"/>
      <c r="H97" s="658"/>
      <c r="I97" s="767"/>
      <c r="J97" s="758" t="s">
        <v>491</v>
      </c>
      <c r="K97" s="648">
        <v>15000</v>
      </c>
      <c r="L97" s="648">
        <v>0</v>
      </c>
      <c r="M97" s="644">
        <v>0</v>
      </c>
      <c r="N97" s="644"/>
      <c r="O97" s="648">
        <v>-15000</v>
      </c>
      <c r="P97" s="650"/>
      <c r="Q97" s="668"/>
    </row>
    <row r="98" spans="2:17" ht="18.75" customHeight="1">
      <c r="B98" s="671"/>
      <c r="C98" s="662"/>
      <c r="D98" s="662"/>
      <c r="E98" s="663"/>
      <c r="F98" s="663"/>
      <c r="G98" s="662"/>
      <c r="H98" s="658"/>
      <c r="I98" s="767"/>
      <c r="J98" s="758" t="s">
        <v>492</v>
      </c>
      <c r="K98" s="648">
        <v>2417000</v>
      </c>
      <c r="L98" s="648">
        <v>2371890.41</v>
      </c>
      <c r="M98" s="644">
        <v>0.0005379689934512971</v>
      </c>
      <c r="N98" s="644"/>
      <c r="O98" s="648">
        <v>-45109.58999999985</v>
      </c>
      <c r="P98" s="650"/>
      <c r="Q98" s="668"/>
    </row>
    <row r="99" spans="2:17" ht="18.75" customHeight="1">
      <c r="B99" s="671"/>
      <c r="C99" s="662"/>
      <c r="D99" s="662"/>
      <c r="E99" s="663"/>
      <c r="F99" s="663"/>
      <c r="G99" s="662"/>
      <c r="H99" s="658"/>
      <c r="I99" s="767"/>
      <c r="J99" s="758" t="s">
        <v>493</v>
      </c>
      <c r="K99" s="648">
        <v>1215000</v>
      </c>
      <c r="L99" s="648">
        <v>74011.66</v>
      </c>
      <c r="M99" s="644">
        <v>1.678660112878471E-05</v>
      </c>
      <c r="N99" s="644">
        <v>0.060914946502057615</v>
      </c>
      <c r="O99" s="648">
        <v>-1140988.34</v>
      </c>
      <c r="P99" s="650">
        <v>-0.9390850534979425</v>
      </c>
      <c r="Q99" s="668"/>
    </row>
    <row r="100" spans="2:17" ht="18.75" customHeight="1">
      <c r="B100" s="671"/>
      <c r="C100" s="662"/>
      <c r="D100" s="662"/>
      <c r="E100" s="663"/>
      <c r="F100" s="663" t="s">
        <v>590</v>
      </c>
      <c r="G100" s="662"/>
      <c r="H100" s="658"/>
      <c r="I100" s="767"/>
      <c r="J100" s="666"/>
      <c r="K100" s="648"/>
      <c r="L100" s="648"/>
      <c r="M100" s="644"/>
      <c r="N100" s="644" t="s">
        <v>590</v>
      </c>
      <c r="O100" s="648"/>
      <c r="P100" s="650"/>
      <c r="Q100" s="668"/>
    </row>
    <row r="101" spans="2:17" ht="18.75" customHeight="1">
      <c r="B101" s="671"/>
      <c r="C101" s="662"/>
      <c r="D101" s="662"/>
      <c r="E101" s="663"/>
      <c r="F101" s="663" t="s">
        <v>590</v>
      </c>
      <c r="G101" s="662"/>
      <c r="H101" s="658"/>
      <c r="I101" s="767"/>
      <c r="J101" s="664" t="s">
        <v>239</v>
      </c>
      <c r="K101" s="659">
        <v>634023613</v>
      </c>
      <c r="L101" s="659">
        <v>627501446.29</v>
      </c>
      <c r="M101" s="660">
        <v>0.14232374313190316</v>
      </c>
      <c r="N101" s="660">
        <v>0.9897130539363681</v>
      </c>
      <c r="O101" s="659">
        <v>-6522166.710000038</v>
      </c>
      <c r="P101" s="807">
        <v>-0.01028694606363192</v>
      </c>
      <c r="Q101" s="668"/>
    </row>
    <row r="102" spans="2:17" ht="18.75" customHeight="1">
      <c r="B102" s="671"/>
      <c r="C102" s="662"/>
      <c r="D102" s="662"/>
      <c r="E102" s="663"/>
      <c r="F102" s="663" t="s">
        <v>590</v>
      </c>
      <c r="G102" s="662"/>
      <c r="H102" s="658"/>
      <c r="I102" s="767"/>
      <c r="J102" s="671"/>
      <c r="K102" s="648"/>
      <c r="L102" s="648"/>
      <c r="M102" s="644"/>
      <c r="N102" s="644" t="s">
        <v>590</v>
      </c>
      <c r="O102" s="648"/>
      <c r="P102" s="650"/>
      <c r="Q102" s="668"/>
    </row>
    <row r="103" spans="2:17" ht="18.75" customHeight="1">
      <c r="B103" s="671"/>
      <c r="C103" s="662"/>
      <c r="D103" s="662"/>
      <c r="E103" s="663"/>
      <c r="F103" s="663" t="s">
        <v>590</v>
      </c>
      <c r="G103" s="662"/>
      <c r="H103" s="658"/>
      <c r="I103" s="767"/>
      <c r="J103" s="664" t="s">
        <v>969</v>
      </c>
      <c r="K103" s="659">
        <v>77701587</v>
      </c>
      <c r="L103" s="659">
        <v>68542393.24</v>
      </c>
      <c r="M103" s="660">
        <v>0.015546115513855378</v>
      </c>
      <c r="N103" s="660">
        <v>0.8821234660239307</v>
      </c>
      <c r="O103" s="659">
        <v>-9159193.760000005</v>
      </c>
      <c r="P103" s="807">
        <v>-0.11787653397606931</v>
      </c>
      <c r="Q103" s="668"/>
    </row>
    <row r="104" spans="2:17" ht="18.75" customHeight="1">
      <c r="B104" s="671"/>
      <c r="C104" s="662"/>
      <c r="D104" s="662"/>
      <c r="E104" s="663"/>
      <c r="F104" s="663" t="s">
        <v>590</v>
      </c>
      <c r="G104" s="662"/>
      <c r="H104" s="658"/>
      <c r="I104" s="767"/>
      <c r="J104" s="664" t="s">
        <v>1297</v>
      </c>
      <c r="K104" s="659">
        <v>0</v>
      </c>
      <c r="L104" s="659">
        <v>0</v>
      </c>
      <c r="M104" s="660">
        <v>0</v>
      </c>
      <c r="N104" s="660" t="s">
        <v>590</v>
      </c>
      <c r="O104" s="659">
        <v>0</v>
      </c>
      <c r="P104" s="807"/>
      <c r="Q104" s="668"/>
    </row>
    <row r="105" spans="2:17" ht="18.75" customHeight="1">
      <c r="B105" s="671"/>
      <c r="C105" s="662"/>
      <c r="D105" s="662"/>
      <c r="E105" s="663"/>
      <c r="F105" s="663" t="s">
        <v>590</v>
      </c>
      <c r="G105" s="662"/>
      <c r="H105" s="658"/>
      <c r="I105" s="767"/>
      <c r="J105" s="664"/>
      <c r="K105" s="648"/>
      <c r="L105" s="648"/>
      <c r="M105" s="644"/>
      <c r="N105" s="644" t="s">
        <v>590</v>
      </c>
      <c r="O105" s="648"/>
      <c r="P105" s="650"/>
      <c r="Q105" s="668"/>
    </row>
    <row r="106" spans="2:17" ht="18.75" customHeight="1">
      <c r="B106" s="671"/>
      <c r="C106" s="662"/>
      <c r="D106" s="662"/>
      <c r="E106" s="663"/>
      <c r="F106" s="663" t="s">
        <v>590</v>
      </c>
      <c r="G106" s="662"/>
      <c r="H106" s="658"/>
      <c r="I106" s="767"/>
      <c r="J106" s="655" t="s">
        <v>848</v>
      </c>
      <c r="K106" s="659">
        <v>4343170</v>
      </c>
      <c r="L106" s="659">
        <v>4343170</v>
      </c>
      <c r="M106" s="660">
        <v>0.0009850753573761742</v>
      </c>
      <c r="N106" s="660">
        <v>1</v>
      </c>
      <c r="O106" s="659">
        <v>0</v>
      </c>
      <c r="P106" s="807">
        <v>0</v>
      </c>
      <c r="Q106" s="668"/>
    </row>
    <row r="107" spans="2:17" ht="18.75" customHeight="1">
      <c r="B107" s="671"/>
      <c r="C107" s="662"/>
      <c r="D107" s="662"/>
      <c r="E107" s="663"/>
      <c r="F107" s="663" t="s">
        <v>590</v>
      </c>
      <c r="G107" s="662"/>
      <c r="H107" s="658"/>
      <c r="I107" s="767"/>
      <c r="J107" s="664" t="s">
        <v>1551</v>
      </c>
      <c r="K107" s="659">
        <v>4343170</v>
      </c>
      <c r="L107" s="659">
        <v>4343170</v>
      </c>
      <c r="M107" s="660">
        <v>0.0009850753573761742</v>
      </c>
      <c r="N107" s="660">
        <v>1</v>
      </c>
      <c r="O107" s="659">
        <v>0</v>
      </c>
      <c r="P107" s="807">
        <v>0</v>
      </c>
      <c r="Q107" s="668"/>
    </row>
    <row r="108" spans="2:17" ht="18.75" customHeight="1">
      <c r="B108" s="671"/>
      <c r="C108" s="662"/>
      <c r="D108" s="662"/>
      <c r="E108" s="663"/>
      <c r="F108" s="663" t="s">
        <v>590</v>
      </c>
      <c r="G108" s="662"/>
      <c r="H108" s="658"/>
      <c r="I108" s="767"/>
      <c r="J108" s="666" t="s">
        <v>60</v>
      </c>
      <c r="K108" s="648">
        <v>4343170</v>
      </c>
      <c r="L108" s="648">
        <v>4343170</v>
      </c>
      <c r="M108" s="644">
        <v>0.0009850753573761742</v>
      </c>
      <c r="N108" s="644">
        <v>1</v>
      </c>
      <c r="O108" s="648">
        <v>0</v>
      </c>
      <c r="P108" s="650">
        <v>0</v>
      </c>
      <c r="Q108" s="668"/>
    </row>
    <row r="109" spans="2:18" ht="18.75" customHeight="1">
      <c r="B109" s="671"/>
      <c r="C109" s="662"/>
      <c r="D109" s="662"/>
      <c r="E109" s="663"/>
      <c r="F109" s="663" t="s">
        <v>590</v>
      </c>
      <c r="G109" s="662"/>
      <c r="H109" s="658"/>
      <c r="I109" s="767"/>
      <c r="J109" s="666"/>
      <c r="K109" s="648"/>
      <c r="L109" s="648"/>
      <c r="M109" s="644"/>
      <c r="N109" s="644" t="s">
        <v>590</v>
      </c>
      <c r="O109" s="648"/>
      <c r="P109" s="650"/>
      <c r="Q109" s="672"/>
      <c r="R109" s="673"/>
    </row>
    <row r="110" spans="2:18" ht="18.75" customHeight="1">
      <c r="B110" s="671"/>
      <c r="C110" s="662"/>
      <c r="D110" s="662"/>
      <c r="E110" s="663"/>
      <c r="F110" s="663" t="s">
        <v>590</v>
      </c>
      <c r="G110" s="662"/>
      <c r="H110" s="658"/>
      <c r="I110" s="767"/>
      <c r="J110" s="929" t="s">
        <v>1181</v>
      </c>
      <c r="K110" s="659">
        <v>4564015</v>
      </c>
      <c r="L110" s="659">
        <v>82690783.52999888</v>
      </c>
      <c r="M110" s="660">
        <v>0.018755115074364923</v>
      </c>
      <c r="N110" s="660"/>
      <c r="O110" s="659">
        <v>78126768.52999888</v>
      </c>
      <c r="P110" s="807"/>
      <c r="Q110" s="674"/>
      <c r="R110" s="673"/>
    </row>
    <row r="111" spans="2:18" ht="18.75" customHeight="1">
      <c r="B111" s="671"/>
      <c r="C111" s="662"/>
      <c r="D111" s="662"/>
      <c r="E111" s="663"/>
      <c r="F111" s="663" t="s">
        <v>590</v>
      </c>
      <c r="G111" s="662"/>
      <c r="H111" s="658"/>
      <c r="I111" s="767"/>
      <c r="J111" s="655" t="s">
        <v>1182</v>
      </c>
      <c r="K111" s="659">
        <v>0</v>
      </c>
      <c r="L111" s="659">
        <v>0</v>
      </c>
      <c r="M111" s="644"/>
      <c r="N111" s="644" t="s">
        <v>590</v>
      </c>
      <c r="O111" s="648"/>
      <c r="P111" s="650"/>
      <c r="Q111" s="672"/>
      <c r="R111" s="673"/>
    </row>
    <row r="112" spans="2:17" ht="18.75" customHeight="1">
      <c r="B112" s="655" t="s">
        <v>1589</v>
      </c>
      <c r="C112" s="656">
        <v>0</v>
      </c>
      <c r="D112" s="656">
        <v>0</v>
      </c>
      <c r="E112" s="657">
        <v>0</v>
      </c>
      <c r="F112" s="657"/>
      <c r="G112" s="656">
        <v>0</v>
      </c>
      <c r="H112" s="658"/>
      <c r="I112" s="767"/>
      <c r="J112" s="655" t="s">
        <v>1183</v>
      </c>
      <c r="K112" s="659">
        <v>0</v>
      </c>
      <c r="L112" s="659">
        <v>0</v>
      </c>
      <c r="M112" s="660">
        <v>0</v>
      </c>
      <c r="N112" s="660"/>
      <c r="O112" s="659">
        <v>0</v>
      </c>
      <c r="P112" s="807"/>
      <c r="Q112" s="668"/>
    </row>
    <row r="113" spans="2:17" ht="18.75" customHeight="1">
      <c r="B113" s="655" t="s">
        <v>1590</v>
      </c>
      <c r="C113" s="656">
        <v>0</v>
      </c>
      <c r="D113" s="656">
        <v>0</v>
      </c>
      <c r="E113" s="657">
        <v>0</v>
      </c>
      <c r="F113" s="657"/>
      <c r="G113" s="656">
        <v>0</v>
      </c>
      <c r="H113" s="658"/>
      <c r="I113" s="767"/>
      <c r="J113" s="655" t="s">
        <v>657</v>
      </c>
      <c r="K113" s="659">
        <v>101886871</v>
      </c>
      <c r="L113" s="659">
        <v>76200000</v>
      </c>
      <c r="M113" s="660">
        <v>0.017282939012763596</v>
      </c>
      <c r="N113" s="660">
        <v>0.7478883123223993</v>
      </c>
      <c r="O113" s="659">
        <v>-25686871</v>
      </c>
      <c r="P113" s="807">
        <v>-0.2521116876776008</v>
      </c>
      <c r="Q113" s="668"/>
    </row>
    <row r="114" spans="2:16" ht="18.75" customHeight="1">
      <c r="B114" s="671"/>
      <c r="C114" s="662"/>
      <c r="D114" s="662"/>
      <c r="E114" s="663"/>
      <c r="F114" s="663" t="s">
        <v>590</v>
      </c>
      <c r="G114" s="662"/>
      <c r="H114" s="658"/>
      <c r="I114" s="767"/>
      <c r="J114" s="655" t="s">
        <v>1184</v>
      </c>
      <c r="K114" s="659">
        <v>0</v>
      </c>
      <c r="L114" s="659">
        <v>0</v>
      </c>
      <c r="M114" s="660">
        <v>0</v>
      </c>
      <c r="N114" s="660" t="s">
        <v>590</v>
      </c>
      <c r="O114" s="659">
        <v>0</v>
      </c>
      <c r="P114" s="807"/>
    </row>
    <row r="115" spans="2:16" ht="18.75" customHeight="1">
      <c r="B115" s="671"/>
      <c r="C115" s="662"/>
      <c r="D115" s="662"/>
      <c r="E115" s="663"/>
      <c r="F115" s="663" t="s">
        <v>590</v>
      </c>
      <c r="G115" s="662"/>
      <c r="H115" s="658"/>
      <c r="I115" s="767"/>
      <c r="J115" s="655"/>
      <c r="K115" s="675"/>
      <c r="L115" s="659"/>
      <c r="M115" s="676"/>
      <c r="N115" s="676" t="s">
        <v>590</v>
      </c>
      <c r="O115" s="659"/>
      <c r="P115" s="891"/>
    </row>
    <row r="116" spans="2:16" ht="18.75" customHeight="1">
      <c r="B116" s="671"/>
      <c r="C116" s="662"/>
      <c r="D116" s="662"/>
      <c r="E116" s="663"/>
      <c r="F116" s="663" t="s">
        <v>590</v>
      </c>
      <c r="G116" s="662"/>
      <c r="H116" s="658"/>
      <c r="I116" s="767"/>
      <c r="J116" s="779" t="s">
        <v>675</v>
      </c>
      <c r="K116" s="677">
        <v>4489292967</v>
      </c>
      <c r="L116" s="677">
        <v>4408972336.46</v>
      </c>
      <c r="M116" s="678">
        <v>1</v>
      </c>
      <c r="N116" s="678">
        <v>0.9821084007814989</v>
      </c>
      <c r="O116" s="677">
        <v>-80320630.53999996</v>
      </c>
      <c r="P116" s="892">
        <v>-0.017891599218501163</v>
      </c>
    </row>
    <row r="117" spans="2:16" ht="18.75" customHeight="1" thickBot="1">
      <c r="B117" s="671"/>
      <c r="C117" s="662"/>
      <c r="D117" s="662"/>
      <c r="E117" s="663"/>
      <c r="F117" s="663" t="s">
        <v>590</v>
      </c>
      <c r="G117" s="662"/>
      <c r="H117" s="658"/>
      <c r="I117" s="767"/>
      <c r="J117" s="725" t="s">
        <v>676</v>
      </c>
      <c r="K117" s="679">
        <v>4591179838</v>
      </c>
      <c r="L117" s="679">
        <v>4485172336.46</v>
      </c>
      <c r="M117" s="680"/>
      <c r="N117" s="680">
        <v>0.976910618777639</v>
      </c>
      <c r="O117" s="679">
        <v>-106007501.53999996</v>
      </c>
      <c r="P117" s="893">
        <v>-0.023089381222361077</v>
      </c>
    </row>
    <row r="118" spans="2:43" s="690" customFormat="1" ht="51" customHeight="1" thickBot="1">
      <c r="B118" s="681" t="s">
        <v>68</v>
      </c>
      <c r="C118" s="682">
        <v>4595743853</v>
      </c>
      <c r="D118" s="682">
        <v>4567863119.99</v>
      </c>
      <c r="E118" s="683"/>
      <c r="F118" s="683">
        <v>0.9939333579281621</v>
      </c>
      <c r="G118" s="682">
        <v>-27880733.01000023</v>
      </c>
      <c r="H118" s="684">
        <v>-0.006066642071837903</v>
      </c>
      <c r="I118" s="767"/>
      <c r="J118" s="694" t="s">
        <v>46</v>
      </c>
      <c r="K118" s="686">
        <v>4595743853</v>
      </c>
      <c r="L118" s="687">
        <v>4567863119.989999</v>
      </c>
      <c r="M118" s="688"/>
      <c r="N118" s="688">
        <v>0.9939333579281618</v>
      </c>
      <c r="O118" s="686">
        <v>-27880733.010001183</v>
      </c>
      <c r="P118" s="894">
        <v>-0.006066642071838111</v>
      </c>
      <c r="Q118" s="689"/>
      <c r="R118" s="602"/>
      <c r="S118" s="689"/>
      <c r="T118" s="689"/>
      <c r="U118" s="689"/>
      <c r="V118" s="689"/>
      <c r="W118" s="689"/>
      <c r="X118" s="689"/>
      <c r="Y118" s="689"/>
      <c r="Z118" s="689"/>
      <c r="AA118" s="689"/>
      <c r="AB118" s="689"/>
      <c r="AC118" s="689"/>
      <c r="AD118" s="689"/>
      <c r="AE118" s="689"/>
      <c r="AF118" s="689"/>
      <c r="AG118" s="689"/>
      <c r="AH118" s="689"/>
      <c r="AI118" s="689"/>
      <c r="AJ118" s="689"/>
      <c r="AK118" s="689"/>
      <c r="AL118" s="689"/>
      <c r="AM118" s="689"/>
      <c r="AN118" s="689"/>
      <c r="AO118" s="689"/>
      <c r="AP118" s="689"/>
      <c r="AQ118" s="689"/>
    </row>
    <row r="119" spans="2:16" ht="18.75" customHeight="1" thickBot="1">
      <c r="B119" s="691"/>
      <c r="C119" s="692"/>
      <c r="D119" s="700"/>
      <c r="E119" s="692"/>
      <c r="F119" s="692"/>
      <c r="G119" s="692"/>
      <c r="H119" s="895"/>
      <c r="I119" s="692"/>
      <c r="K119" s="693"/>
      <c r="L119" s="693"/>
      <c r="M119" s="930"/>
      <c r="N119" s="931" t="s">
        <v>590</v>
      </c>
      <c r="O119" s="932"/>
      <c r="P119" s="931"/>
    </row>
    <row r="120" spans="3:17" ht="18.75" customHeight="1" thickBot="1">
      <c r="C120" s="692"/>
      <c r="D120" s="702"/>
      <c r="E120" s="692"/>
      <c r="F120" s="692"/>
      <c r="G120" s="692"/>
      <c r="H120" s="895"/>
      <c r="I120" s="692"/>
      <c r="J120" s="694" t="s">
        <v>687</v>
      </c>
      <c r="K120" s="686">
        <v>4564015</v>
      </c>
      <c r="L120" s="686">
        <v>82690783.52999973</v>
      </c>
      <c r="M120" s="688"/>
      <c r="N120" s="688"/>
      <c r="O120" s="686">
        <v>78126768.52999973</v>
      </c>
      <c r="P120" s="688"/>
      <c r="Q120" s="695"/>
    </row>
    <row r="121" spans="2:17" ht="18.75" customHeight="1">
      <c r="B121" s="696" t="s">
        <v>1595</v>
      </c>
      <c r="C121" s="899"/>
      <c r="D121" s="697"/>
      <c r="E121" s="888"/>
      <c r="F121" s="888"/>
      <c r="G121" s="888"/>
      <c r="H121" s="900"/>
      <c r="I121" s="692"/>
      <c r="M121" s="699"/>
      <c r="N121" s="700"/>
      <c r="O121" s="700"/>
      <c r="P121" s="700"/>
      <c r="Q121" s="695"/>
    </row>
    <row r="122" spans="2:17" ht="43.5" customHeight="1">
      <c r="B122" s="901" t="s">
        <v>122</v>
      </c>
      <c r="C122" s="656">
        <v>4595743853</v>
      </c>
      <c r="D122" s="656">
        <v>4567863119.99</v>
      </c>
      <c r="E122" s="657"/>
      <c r="F122" s="657">
        <v>0.9939333579281621</v>
      </c>
      <c r="G122" s="656">
        <v>-27880733.01000023</v>
      </c>
      <c r="H122" s="658">
        <v>-0.006066642071837903</v>
      </c>
      <c r="I122" s="767"/>
      <c r="M122" s="699"/>
      <c r="N122" s="700"/>
      <c r="O122" s="700"/>
      <c r="P122" s="700"/>
      <c r="Q122" s="695"/>
    </row>
    <row r="123" spans="2:17" ht="18.75" customHeight="1">
      <c r="B123" s="664" t="s">
        <v>123</v>
      </c>
      <c r="C123" s="656">
        <v>4595743853</v>
      </c>
      <c r="D123" s="656">
        <v>4567863119.99</v>
      </c>
      <c r="E123" s="657"/>
      <c r="F123" s="657">
        <v>0.9939333579281621</v>
      </c>
      <c r="G123" s="656">
        <v>-27880733.01000023</v>
      </c>
      <c r="H123" s="658">
        <v>-0.006066642071837903</v>
      </c>
      <c r="I123" s="767"/>
      <c r="J123" s="701"/>
      <c r="K123" s="702"/>
      <c r="L123" s="702"/>
      <c r="M123" s="699"/>
      <c r="N123" s="700"/>
      <c r="O123" s="700"/>
      <c r="P123" s="700"/>
      <c r="Q123" s="695"/>
    </row>
    <row r="124" spans="2:17" ht="18.75" customHeight="1">
      <c r="B124" s="664" t="s">
        <v>1597</v>
      </c>
      <c r="C124" s="656">
        <v>4595743853</v>
      </c>
      <c r="D124" s="656">
        <v>4567863119.99</v>
      </c>
      <c r="E124" s="657">
        <v>1</v>
      </c>
      <c r="F124" s="657">
        <v>0.9939333579281621</v>
      </c>
      <c r="G124" s="656">
        <v>-27880733.01000023</v>
      </c>
      <c r="H124" s="658">
        <v>-0.006066642071837903</v>
      </c>
      <c r="I124" s="767"/>
      <c r="K124" s="702"/>
      <c r="L124" s="702"/>
      <c r="M124" s="699"/>
      <c r="N124" s="700"/>
      <c r="O124" s="700"/>
      <c r="P124" s="700"/>
      <c r="Q124" s="695"/>
    </row>
    <row r="125" spans="2:17" ht="36" customHeight="1" thickBot="1">
      <c r="B125" s="902" t="s">
        <v>69</v>
      </c>
      <c r="C125" s="703">
        <v>4595743853</v>
      </c>
      <c r="D125" s="703">
        <v>4567863119.99</v>
      </c>
      <c r="E125" s="903"/>
      <c r="F125" s="903">
        <v>0.9939333579281621</v>
      </c>
      <c r="G125" s="703">
        <v>-27880733.01000023</v>
      </c>
      <c r="H125" s="904">
        <v>-0.006066642071837903</v>
      </c>
      <c r="I125" s="767"/>
      <c r="J125" s="701"/>
      <c r="K125" s="702"/>
      <c r="L125" s="699"/>
      <c r="M125" s="699"/>
      <c r="N125" s="700"/>
      <c r="O125" s="700"/>
      <c r="P125" s="700"/>
      <c r="Q125" s="695"/>
    </row>
    <row r="126" spans="2:16" ht="18.75" customHeight="1">
      <c r="B126" s="947"/>
      <c r="C126" s="947"/>
      <c r="D126" s="947"/>
      <c r="E126" s="947"/>
      <c r="F126" s="947"/>
      <c r="G126" s="947"/>
      <c r="H126" s="947"/>
      <c r="I126" s="706"/>
      <c r="J126" s="704"/>
      <c r="K126" s="705"/>
      <c r="L126" s="705"/>
      <c r="M126" s="705"/>
      <c r="N126" s="705"/>
      <c r="O126" s="705"/>
      <c r="P126" s="705"/>
    </row>
    <row r="127" spans="2:17" ht="18.75" customHeight="1">
      <c r="B127" s="946" t="s">
        <v>241</v>
      </c>
      <c r="C127" s="946"/>
      <c r="D127" s="946"/>
      <c r="E127" s="946"/>
      <c r="F127" s="946"/>
      <c r="G127" s="946"/>
      <c r="H127" s="946"/>
      <c r="I127" s="706"/>
      <c r="J127" s="941" t="s">
        <v>241</v>
      </c>
      <c r="K127" s="941"/>
      <c r="L127" s="941"/>
      <c r="M127" s="941"/>
      <c r="N127" s="941"/>
      <c r="O127" s="941"/>
      <c r="P127" s="941"/>
      <c r="Q127" s="698"/>
    </row>
    <row r="128" spans="2:16" ht="18.75" customHeight="1">
      <c r="B128" s="946" t="s">
        <v>473</v>
      </c>
      <c r="C128" s="946"/>
      <c r="D128" s="946"/>
      <c r="E128" s="946"/>
      <c r="F128" s="946"/>
      <c r="G128" s="946"/>
      <c r="H128" s="946"/>
      <c r="I128" s="706"/>
      <c r="J128" s="946" t="s">
        <v>473</v>
      </c>
      <c r="K128" s="946"/>
      <c r="L128" s="946"/>
      <c r="M128" s="946"/>
      <c r="N128" s="946"/>
      <c r="O128" s="946"/>
      <c r="P128" s="946"/>
    </row>
    <row r="129" spans="2:16" ht="18.75" customHeight="1">
      <c r="B129" s="946" t="s">
        <v>222</v>
      </c>
      <c r="C129" s="946"/>
      <c r="D129" s="946"/>
      <c r="E129" s="946"/>
      <c r="F129" s="946"/>
      <c r="G129" s="946"/>
      <c r="H129" s="946"/>
      <c r="I129" s="706"/>
      <c r="J129" s="946" t="s">
        <v>222</v>
      </c>
      <c r="K129" s="946"/>
      <c r="L129" s="946"/>
      <c r="M129" s="946"/>
      <c r="N129" s="946"/>
      <c r="O129" s="946"/>
      <c r="P129" s="946"/>
    </row>
    <row r="130" spans="2:16" ht="18.75" customHeight="1" thickBot="1">
      <c r="B130" s="601"/>
      <c r="C130" s="601"/>
      <c r="D130" s="601"/>
      <c r="E130" s="601"/>
      <c r="F130" s="601"/>
      <c r="G130" s="601"/>
      <c r="H130" s="605" t="s">
        <v>62</v>
      </c>
      <c r="I130" s="871"/>
      <c r="J130" s="601"/>
      <c r="K130" s="601"/>
      <c r="L130" s="601"/>
      <c r="M130" s="601"/>
      <c r="N130" s="601"/>
      <c r="O130" s="601"/>
      <c r="P130" s="605" t="s">
        <v>62</v>
      </c>
    </row>
    <row r="131" spans="2:43" s="609" customFormat="1" ht="37.5" customHeight="1">
      <c r="B131" s="606"/>
      <c r="C131" s="607"/>
      <c r="D131" s="942" t="s">
        <v>412</v>
      </c>
      <c r="E131" s="942" t="s">
        <v>413</v>
      </c>
      <c r="F131" s="942" t="s">
        <v>414</v>
      </c>
      <c r="G131" s="944" t="s">
        <v>418</v>
      </c>
      <c r="H131" s="945"/>
      <c r="I131" s="866"/>
      <c r="J131" s="606"/>
      <c r="K131" s="607"/>
      <c r="L131" s="942" t="s">
        <v>412</v>
      </c>
      <c r="M131" s="942" t="s">
        <v>413</v>
      </c>
      <c r="N131" s="942" t="s">
        <v>414</v>
      </c>
      <c r="O131" s="944" t="s">
        <v>418</v>
      </c>
      <c r="P131" s="945"/>
      <c r="Q131" s="608"/>
      <c r="R131" s="608"/>
      <c r="S131" s="608"/>
      <c r="T131" s="608"/>
      <c r="U131" s="608"/>
      <c r="V131" s="608"/>
      <c r="W131" s="608"/>
      <c r="X131" s="608"/>
      <c r="Y131" s="608"/>
      <c r="Z131" s="608"/>
      <c r="AA131" s="608"/>
      <c r="AB131" s="608"/>
      <c r="AC131" s="608"/>
      <c r="AD131" s="608"/>
      <c r="AE131" s="608"/>
      <c r="AF131" s="608"/>
      <c r="AG131" s="608"/>
      <c r="AH131" s="608"/>
      <c r="AI131" s="608"/>
      <c r="AJ131" s="608"/>
      <c r="AK131" s="608"/>
      <c r="AL131" s="608"/>
      <c r="AM131" s="608"/>
      <c r="AN131" s="608"/>
      <c r="AO131" s="608"/>
      <c r="AP131" s="608"/>
      <c r="AQ131" s="608"/>
    </row>
    <row r="132" spans="2:43" s="609" customFormat="1" ht="68.25" customHeight="1">
      <c r="B132" s="610" t="s">
        <v>1080</v>
      </c>
      <c r="C132" s="611" t="s">
        <v>411</v>
      </c>
      <c r="D132" s="943"/>
      <c r="E132" s="943"/>
      <c r="F132" s="943"/>
      <c r="G132" s="707" t="s">
        <v>416</v>
      </c>
      <c r="H132" s="708" t="s">
        <v>419</v>
      </c>
      <c r="I132" s="866"/>
      <c r="J132" s="610" t="s">
        <v>1080</v>
      </c>
      <c r="K132" s="611" t="s">
        <v>411</v>
      </c>
      <c r="L132" s="943"/>
      <c r="M132" s="943"/>
      <c r="N132" s="943"/>
      <c r="O132" s="612" t="s">
        <v>416</v>
      </c>
      <c r="P132" s="613" t="s">
        <v>419</v>
      </c>
      <c r="Q132" s="608"/>
      <c r="R132" s="608"/>
      <c r="S132" s="608"/>
      <c r="T132" s="608"/>
      <c r="U132" s="608"/>
      <c r="V132" s="608"/>
      <c r="W132" s="608"/>
      <c r="X132" s="608"/>
      <c r="Y132" s="608"/>
      <c r="Z132" s="608"/>
      <c r="AA132" s="608"/>
      <c r="AB132" s="608"/>
      <c r="AC132" s="608"/>
      <c r="AD132" s="608"/>
      <c r="AE132" s="608"/>
      <c r="AF132" s="608"/>
      <c r="AG132" s="608"/>
      <c r="AH132" s="608"/>
      <c r="AI132" s="608"/>
      <c r="AJ132" s="608"/>
      <c r="AK132" s="608"/>
      <c r="AL132" s="608"/>
      <c r="AM132" s="608"/>
      <c r="AN132" s="608"/>
      <c r="AO132" s="608"/>
      <c r="AP132" s="608"/>
      <c r="AQ132" s="608"/>
    </row>
    <row r="133" spans="2:43" s="609" customFormat="1" ht="37.5" customHeight="1">
      <c r="B133" s="709"/>
      <c r="C133" s="710">
        <v>2011</v>
      </c>
      <c r="D133" s="711">
        <v>2011</v>
      </c>
      <c r="E133" s="711">
        <v>2011</v>
      </c>
      <c r="F133" s="711">
        <v>2011</v>
      </c>
      <c r="G133" s="711">
        <v>2011</v>
      </c>
      <c r="H133" s="712">
        <v>2011</v>
      </c>
      <c r="I133" s="872"/>
      <c r="J133" s="709"/>
      <c r="K133" s="614">
        <v>2011</v>
      </c>
      <c r="L133" s="615">
        <v>2011</v>
      </c>
      <c r="M133" s="615">
        <v>2011</v>
      </c>
      <c r="N133" s="615">
        <v>2011</v>
      </c>
      <c r="O133" s="615">
        <v>2011</v>
      </c>
      <c r="P133" s="712">
        <v>2011</v>
      </c>
      <c r="Q133" s="608"/>
      <c r="R133" s="608"/>
      <c r="S133" s="608"/>
      <c r="T133" s="608"/>
      <c r="U133" s="608"/>
      <c r="V133" s="608"/>
      <c r="W133" s="608"/>
      <c r="X133" s="608"/>
      <c r="Y133" s="608"/>
      <c r="Z133" s="608"/>
      <c r="AA133" s="608"/>
      <c r="AB133" s="608"/>
      <c r="AC133" s="608"/>
      <c r="AD133" s="608"/>
      <c r="AE133" s="608"/>
      <c r="AF133" s="608"/>
      <c r="AG133" s="608"/>
      <c r="AH133" s="608"/>
      <c r="AI133" s="608"/>
      <c r="AJ133" s="608"/>
      <c r="AK133" s="608"/>
      <c r="AL133" s="608"/>
      <c r="AM133" s="608"/>
      <c r="AN133" s="608"/>
      <c r="AO133" s="608"/>
      <c r="AP133" s="608"/>
      <c r="AQ133" s="608"/>
    </row>
    <row r="134" spans="2:16" ht="19.5">
      <c r="B134" s="713"/>
      <c r="C134" s="618" t="s">
        <v>1131</v>
      </c>
      <c r="D134" s="619" t="s">
        <v>1129</v>
      </c>
      <c r="E134" s="619" t="s">
        <v>1130</v>
      </c>
      <c r="F134" s="620" t="s">
        <v>415</v>
      </c>
      <c r="G134" s="621" t="s">
        <v>417</v>
      </c>
      <c r="H134" s="622" t="s">
        <v>17</v>
      </c>
      <c r="I134" s="873"/>
      <c r="J134" s="713"/>
      <c r="K134" s="618" t="s">
        <v>1131</v>
      </c>
      <c r="L134" s="619" t="s">
        <v>1129</v>
      </c>
      <c r="M134" s="619" t="s">
        <v>1130</v>
      </c>
      <c r="N134" s="620" t="s">
        <v>415</v>
      </c>
      <c r="O134" s="621" t="s">
        <v>417</v>
      </c>
      <c r="P134" s="622" t="s">
        <v>17</v>
      </c>
    </row>
    <row r="135" spans="2:16" ht="18.75" customHeight="1">
      <c r="B135" s="623" t="s">
        <v>420</v>
      </c>
      <c r="C135" s="624">
        <v>25235891.96000004</v>
      </c>
      <c r="D135" s="624">
        <v>25235891.96000004</v>
      </c>
      <c r="E135" s="625"/>
      <c r="F135" s="626"/>
      <c r="G135" s="624">
        <v>0</v>
      </c>
      <c r="H135" s="627"/>
      <c r="I135" s="867"/>
      <c r="J135" s="874"/>
      <c r="K135" s="714"/>
      <c r="L135" s="715"/>
      <c r="M135" s="715"/>
      <c r="N135" s="653"/>
      <c r="O135" s="716"/>
      <c r="P135" s="717"/>
    </row>
    <row r="136" spans="2:16" ht="18.75" customHeight="1">
      <c r="B136" s="633" t="s">
        <v>421</v>
      </c>
      <c r="C136" s="718">
        <v>0</v>
      </c>
      <c r="D136" s="718">
        <v>0</v>
      </c>
      <c r="E136" s="625"/>
      <c r="F136" s="626"/>
      <c r="G136" s="718">
        <v>0</v>
      </c>
      <c r="H136" s="639"/>
      <c r="I136" s="925"/>
      <c r="J136" s="874"/>
      <c r="K136" s="714"/>
      <c r="L136" s="715"/>
      <c r="M136" s="715"/>
      <c r="N136" s="653"/>
      <c r="O136" s="716"/>
      <c r="P136" s="717"/>
    </row>
    <row r="137" spans="2:16" ht="18.75" customHeight="1">
      <c r="B137" s="635" t="s">
        <v>422</v>
      </c>
      <c r="C137" s="624">
        <v>25235891.96000004</v>
      </c>
      <c r="D137" s="624">
        <v>25235891.96000004</v>
      </c>
      <c r="E137" s="625"/>
      <c r="F137" s="626"/>
      <c r="G137" s="624">
        <v>0</v>
      </c>
      <c r="H137" s="627"/>
      <c r="I137" s="867"/>
      <c r="J137" s="874"/>
      <c r="K137" s="714"/>
      <c r="L137" s="715"/>
      <c r="M137" s="715"/>
      <c r="N137" s="653"/>
      <c r="O137" s="716"/>
      <c r="P137" s="717"/>
    </row>
    <row r="138" spans="2:16" ht="18.75" customHeight="1">
      <c r="B138" s="636" t="s">
        <v>423</v>
      </c>
      <c r="C138" s="637">
        <v>25235891.96000004</v>
      </c>
      <c r="D138" s="718">
        <v>25235891.96000004</v>
      </c>
      <c r="E138" s="637"/>
      <c r="F138" s="626"/>
      <c r="G138" s="718">
        <v>0</v>
      </c>
      <c r="H138" s="639"/>
      <c r="I138" s="925"/>
      <c r="J138" s="877"/>
      <c r="K138" s="714"/>
      <c r="L138" s="714"/>
      <c r="M138" s="714"/>
      <c r="N138" s="719" t="s">
        <v>590</v>
      </c>
      <c r="O138" s="720" t="s">
        <v>590</v>
      </c>
      <c r="P138" s="721"/>
    </row>
    <row r="139" spans="2:16" ht="18.75" customHeight="1">
      <c r="B139" s="636" t="s">
        <v>424</v>
      </c>
      <c r="C139" s="637">
        <v>0</v>
      </c>
      <c r="D139" s="718">
        <v>0</v>
      </c>
      <c r="E139" s="637"/>
      <c r="F139" s="626"/>
      <c r="G139" s="637">
        <v>0</v>
      </c>
      <c r="H139" s="639"/>
      <c r="I139" s="925"/>
      <c r="J139" s="877"/>
      <c r="K139" s="714"/>
      <c r="L139" s="714"/>
      <c r="M139" s="714"/>
      <c r="N139" s="719" t="s">
        <v>590</v>
      </c>
      <c r="O139" s="720" t="s">
        <v>590</v>
      </c>
      <c r="P139" s="721"/>
    </row>
    <row r="140" spans="2:16" ht="18.75" customHeight="1">
      <c r="B140" s="646" t="s">
        <v>1588</v>
      </c>
      <c r="C140" s="647">
        <v>25235891.96000004</v>
      </c>
      <c r="D140" s="647">
        <v>25235891.96000004</v>
      </c>
      <c r="E140" s="647"/>
      <c r="F140" s="626"/>
      <c r="G140" s="722">
        <v>0</v>
      </c>
      <c r="H140" s="627"/>
      <c r="I140" s="867"/>
      <c r="J140" s="875"/>
      <c r="K140" s="662"/>
      <c r="L140" s="662"/>
      <c r="M140" s="662"/>
      <c r="N140" s="663" t="s">
        <v>590</v>
      </c>
      <c r="O140" s="723" t="s">
        <v>590</v>
      </c>
      <c r="P140" s="724"/>
    </row>
    <row r="141" spans="2:16" ht="18.75" customHeight="1">
      <c r="B141" s="725"/>
      <c r="C141" s="662"/>
      <c r="D141" s="662"/>
      <c r="E141" s="662"/>
      <c r="F141" s="653"/>
      <c r="G141" s="726" t="s">
        <v>590</v>
      </c>
      <c r="H141" s="654"/>
      <c r="I141" s="867"/>
      <c r="J141" s="651"/>
      <c r="K141" s="662"/>
      <c r="L141" s="662"/>
      <c r="M141" s="662"/>
      <c r="N141" s="663" t="s">
        <v>590</v>
      </c>
      <c r="O141" s="723" t="s">
        <v>590</v>
      </c>
      <c r="P141" s="724"/>
    </row>
    <row r="142" spans="2:16" ht="18.75" customHeight="1">
      <c r="B142" s="655" t="s">
        <v>82</v>
      </c>
      <c r="C142" s="656">
        <v>1278521977</v>
      </c>
      <c r="D142" s="656">
        <v>1271781017.42</v>
      </c>
      <c r="E142" s="657">
        <v>1</v>
      </c>
      <c r="F142" s="657">
        <v>0.9947275371864805</v>
      </c>
      <c r="G142" s="727">
        <v>-6740959.579999924</v>
      </c>
      <c r="H142" s="658">
        <v>-0.0052724628135194926</v>
      </c>
      <c r="I142" s="767"/>
      <c r="J142" s="655" t="s">
        <v>82</v>
      </c>
      <c r="K142" s="656">
        <v>1222184487</v>
      </c>
      <c r="L142" s="656">
        <v>1200802800.4199998</v>
      </c>
      <c r="M142" s="728">
        <v>1</v>
      </c>
      <c r="N142" s="657">
        <v>0.9825053526636686</v>
      </c>
      <c r="O142" s="656">
        <v>-21381686.580000162</v>
      </c>
      <c r="P142" s="658">
        <v>-0.017494647336331444</v>
      </c>
    </row>
    <row r="143" spans="2:16" ht="18.75" customHeight="1">
      <c r="B143" s="655"/>
      <c r="C143" s="662"/>
      <c r="D143" s="662"/>
      <c r="E143" s="657"/>
      <c r="F143" s="663" t="s">
        <v>590</v>
      </c>
      <c r="G143" s="727"/>
      <c r="H143" s="658"/>
      <c r="I143" s="767"/>
      <c r="J143" s="655"/>
      <c r="K143" s="662"/>
      <c r="L143" s="662"/>
      <c r="M143" s="723"/>
      <c r="N143" s="663" t="s">
        <v>590</v>
      </c>
      <c r="O143" s="662"/>
      <c r="P143" s="724"/>
    </row>
    <row r="144" spans="2:16" ht="18.75" customHeight="1">
      <c r="B144" s="664"/>
      <c r="C144" s="656"/>
      <c r="D144" s="656"/>
      <c r="E144" s="657"/>
      <c r="F144" s="657" t="s">
        <v>590</v>
      </c>
      <c r="G144" s="727"/>
      <c r="H144" s="658"/>
      <c r="I144" s="767"/>
      <c r="J144" s="655" t="s">
        <v>1165</v>
      </c>
      <c r="K144" s="656">
        <v>1201030672</v>
      </c>
      <c r="L144" s="656">
        <v>1182134981.37</v>
      </c>
      <c r="M144" s="728">
        <v>0.9844538844817229</v>
      </c>
      <c r="N144" s="657">
        <v>0.9842671040211368</v>
      </c>
      <c r="O144" s="656">
        <v>-18895690.630000114</v>
      </c>
      <c r="P144" s="658">
        <v>-0.015732895978863157</v>
      </c>
    </row>
    <row r="145" spans="2:16" ht="18.75" customHeight="1">
      <c r="B145" s="666"/>
      <c r="C145" s="662"/>
      <c r="D145" s="662"/>
      <c r="E145" s="657"/>
      <c r="F145" s="663" t="s">
        <v>590</v>
      </c>
      <c r="G145" s="727"/>
      <c r="H145" s="658"/>
      <c r="I145" s="767"/>
      <c r="J145" s="655"/>
      <c r="K145" s="662"/>
      <c r="L145" s="662"/>
      <c r="M145" s="723"/>
      <c r="N145" s="663" t="s">
        <v>590</v>
      </c>
      <c r="O145" s="662"/>
      <c r="P145" s="724"/>
    </row>
    <row r="146" spans="2:16" ht="18.75" customHeight="1">
      <c r="B146" s="666"/>
      <c r="C146" s="662"/>
      <c r="D146" s="662"/>
      <c r="E146" s="657"/>
      <c r="F146" s="663" t="s">
        <v>590</v>
      </c>
      <c r="G146" s="727"/>
      <c r="H146" s="658"/>
      <c r="I146" s="767"/>
      <c r="J146" s="878" t="s">
        <v>1416</v>
      </c>
      <c r="K146" s="656">
        <v>685409968</v>
      </c>
      <c r="L146" s="656">
        <v>677694023.2799999</v>
      </c>
      <c r="M146" s="728">
        <v>0.5643674573734885</v>
      </c>
      <c r="N146" s="657">
        <v>0.9887425846132425</v>
      </c>
      <c r="O146" s="656">
        <v>-7715944.720000148</v>
      </c>
      <c r="P146" s="658">
        <v>-0.011257415386757473</v>
      </c>
    </row>
    <row r="147" spans="2:16" ht="18.75" customHeight="1">
      <c r="B147" s="661"/>
      <c r="C147" s="662"/>
      <c r="D147" s="662"/>
      <c r="E147" s="657"/>
      <c r="F147" s="663" t="s">
        <v>590</v>
      </c>
      <c r="G147" s="727"/>
      <c r="H147" s="658"/>
      <c r="I147" s="767"/>
      <c r="J147" s="758" t="s">
        <v>333</v>
      </c>
      <c r="K147" s="662">
        <v>681771301</v>
      </c>
      <c r="L147" s="662">
        <v>674385881.4099998</v>
      </c>
      <c r="M147" s="723">
        <v>0.5616125155388734</v>
      </c>
      <c r="N147" s="663">
        <v>0.9891673064278778</v>
      </c>
      <c r="O147" s="662">
        <v>-7385419.590000153</v>
      </c>
      <c r="P147" s="724">
        <v>-0.010832693572122293</v>
      </c>
    </row>
    <row r="148" spans="2:16" ht="18.75" customHeight="1">
      <c r="B148" s="729"/>
      <c r="C148" s="662"/>
      <c r="D148" s="662"/>
      <c r="E148" s="657"/>
      <c r="F148" s="663"/>
      <c r="G148" s="727"/>
      <c r="H148" s="658"/>
      <c r="I148" s="767"/>
      <c r="J148" s="758" t="s">
        <v>1418</v>
      </c>
      <c r="K148" s="662">
        <v>3638667</v>
      </c>
      <c r="L148" s="662">
        <v>3308141.87</v>
      </c>
      <c r="M148" s="723">
        <v>0.00275494183461508</v>
      </c>
      <c r="N148" s="663">
        <v>0.9091631275959026</v>
      </c>
      <c r="O148" s="662">
        <v>-330525.13</v>
      </c>
      <c r="P148" s="724">
        <v>-0.09083687240409741</v>
      </c>
    </row>
    <row r="149" spans="2:16" ht="18.75" customHeight="1">
      <c r="B149" s="661"/>
      <c r="C149" s="662"/>
      <c r="D149" s="662"/>
      <c r="E149" s="663"/>
      <c r="F149" s="663" t="s">
        <v>590</v>
      </c>
      <c r="G149" s="727"/>
      <c r="H149" s="658"/>
      <c r="I149" s="767"/>
      <c r="J149" s="665" t="s">
        <v>768</v>
      </c>
      <c r="K149" s="656">
        <v>9481757</v>
      </c>
      <c r="L149" s="656">
        <v>9244689.62</v>
      </c>
      <c r="M149" s="728">
        <v>0.00769875754517438</v>
      </c>
      <c r="N149" s="657">
        <v>0.9749975263023508</v>
      </c>
      <c r="O149" s="656">
        <v>-237067.38000000082</v>
      </c>
      <c r="P149" s="658">
        <v>-0.02500247369764916</v>
      </c>
    </row>
    <row r="150" spans="2:16" ht="18.75" customHeight="1">
      <c r="B150" s="664" t="s">
        <v>767</v>
      </c>
      <c r="C150" s="656">
        <v>715190219</v>
      </c>
      <c r="D150" s="656">
        <v>715190000</v>
      </c>
      <c r="E150" s="663">
        <v>0.5623531018342065</v>
      </c>
      <c r="F150" s="657">
        <v>0.9999996937877585</v>
      </c>
      <c r="G150" s="727">
        <v>-219</v>
      </c>
      <c r="H150" s="658">
        <v>-3.06212241417692E-07</v>
      </c>
      <c r="I150" s="767"/>
      <c r="J150" s="758" t="s">
        <v>29</v>
      </c>
      <c r="K150" s="662">
        <v>454025</v>
      </c>
      <c r="L150" s="662">
        <v>433472.85</v>
      </c>
      <c r="M150" s="723">
        <v>0.00036098587532306384</v>
      </c>
      <c r="N150" s="663">
        <v>0.9547334397885578</v>
      </c>
      <c r="O150" s="662">
        <v>-20552.15</v>
      </c>
      <c r="P150" s="724">
        <v>-0.04526656021144215</v>
      </c>
    </row>
    <row r="151" spans="2:16" ht="18.75" customHeight="1">
      <c r="B151" s="730" t="s">
        <v>191</v>
      </c>
      <c r="C151" s="662">
        <v>715190219</v>
      </c>
      <c r="D151" s="662">
        <v>715190000</v>
      </c>
      <c r="E151" s="663">
        <v>0.5623531018342065</v>
      </c>
      <c r="F151" s="663">
        <v>0.9999996937877585</v>
      </c>
      <c r="G151" s="727">
        <v>-219</v>
      </c>
      <c r="H151" s="658">
        <v>-3.06212241417692E-07</v>
      </c>
      <c r="I151" s="767"/>
      <c r="J151" s="758" t="s">
        <v>26</v>
      </c>
      <c r="K151" s="662">
        <v>9027732</v>
      </c>
      <c r="L151" s="662">
        <v>8811216.77</v>
      </c>
      <c r="M151" s="723">
        <v>0.007337771669851317</v>
      </c>
      <c r="N151" s="663">
        <v>0.9760166529090584</v>
      </c>
      <c r="O151" s="662">
        <v>-216515.23</v>
      </c>
      <c r="P151" s="724">
        <v>-0.023983347090941607</v>
      </c>
    </row>
    <row r="152" spans="2:16" ht="18.75" customHeight="1">
      <c r="B152" s="730"/>
      <c r="C152" s="662"/>
      <c r="D152" s="662"/>
      <c r="E152" s="657"/>
      <c r="F152" s="663" t="s">
        <v>590</v>
      </c>
      <c r="G152" s="727"/>
      <c r="H152" s="658"/>
      <c r="I152" s="767"/>
      <c r="J152" s="666"/>
      <c r="K152" s="662"/>
      <c r="L152" s="662"/>
      <c r="M152" s="723"/>
      <c r="N152" s="663" t="s">
        <v>590</v>
      </c>
      <c r="O152" s="662"/>
      <c r="P152" s="724"/>
    </row>
    <row r="153" spans="2:16" ht="18.75" customHeight="1">
      <c r="B153" s="666"/>
      <c r="C153" s="662"/>
      <c r="D153" s="662"/>
      <c r="E153" s="663"/>
      <c r="F153" s="663" t="s">
        <v>590</v>
      </c>
      <c r="G153" s="727"/>
      <c r="H153" s="658"/>
      <c r="I153" s="767"/>
      <c r="J153" s="878" t="s">
        <v>806</v>
      </c>
      <c r="K153" s="656">
        <v>140821516</v>
      </c>
      <c r="L153" s="656">
        <v>134328059.76</v>
      </c>
      <c r="M153" s="728">
        <v>0.11186521193406329</v>
      </c>
      <c r="N153" s="657">
        <v>0.9538887492164194</v>
      </c>
      <c r="O153" s="656">
        <v>-6493456.24000001</v>
      </c>
      <c r="P153" s="658">
        <v>-0.04611125078358061</v>
      </c>
    </row>
    <row r="154" spans="2:16" ht="18.75" customHeight="1">
      <c r="B154" s="664" t="s">
        <v>795</v>
      </c>
      <c r="C154" s="656">
        <v>478229758</v>
      </c>
      <c r="D154" s="656">
        <v>478229758</v>
      </c>
      <c r="E154" s="657">
        <v>0.3760315270078188</v>
      </c>
      <c r="F154" s="657">
        <v>1</v>
      </c>
      <c r="G154" s="727">
        <v>0</v>
      </c>
      <c r="H154" s="658">
        <v>0</v>
      </c>
      <c r="I154" s="767"/>
      <c r="J154" s="758" t="s">
        <v>578</v>
      </c>
      <c r="K154" s="662">
        <v>72842287</v>
      </c>
      <c r="L154" s="662">
        <v>68873242.02</v>
      </c>
      <c r="M154" s="723">
        <v>0.05735599716782013</v>
      </c>
      <c r="N154" s="663">
        <v>0.9455118016818994</v>
      </c>
      <c r="O154" s="662">
        <v>-3969044.98</v>
      </c>
      <c r="P154" s="724">
        <v>-0.05448819831810064</v>
      </c>
    </row>
    <row r="155" spans="2:16" ht="18.75" customHeight="1">
      <c r="B155" s="730" t="s">
        <v>1217</v>
      </c>
      <c r="C155" s="662">
        <v>478229758</v>
      </c>
      <c r="D155" s="662">
        <v>478229758</v>
      </c>
      <c r="E155" s="657">
        <v>0.3760315270078188</v>
      </c>
      <c r="F155" s="663">
        <v>1</v>
      </c>
      <c r="G155" s="727">
        <v>0</v>
      </c>
      <c r="H155" s="658">
        <v>0</v>
      </c>
      <c r="I155" s="767"/>
      <c r="J155" s="758" t="s">
        <v>1102</v>
      </c>
      <c r="K155" s="662">
        <v>24143690</v>
      </c>
      <c r="L155" s="662">
        <v>22349707.3</v>
      </c>
      <c r="M155" s="723">
        <v>0.01861230444514523</v>
      </c>
      <c r="N155" s="663">
        <v>0.9256955875427493</v>
      </c>
      <c r="O155" s="662">
        <v>-1793982.7</v>
      </c>
      <c r="P155" s="724">
        <v>-0.07430441245725071</v>
      </c>
    </row>
    <row r="156" spans="2:16" ht="18.75" customHeight="1">
      <c r="B156" s="730" t="s">
        <v>794</v>
      </c>
      <c r="C156" s="662">
        <v>0</v>
      </c>
      <c r="D156" s="662">
        <v>0</v>
      </c>
      <c r="E156" s="663">
        <v>0</v>
      </c>
      <c r="F156" s="663"/>
      <c r="G156" s="727">
        <v>0</v>
      </c>
      <c r="H156" s="658"/>
      <c r="I156" s="767"/>
      <c r="J156" s="758" t="s">
        <v>1103</v>
      </c>
      <c r="K156" s="662">
        <v>9863245</v>
      </c>
      <c r="L156" s="662">
        <v>9378785.219999997</v>
      </c>
      <c r="M156" s="723">
        <v>0.007810429170151517</v>
      </c>
      <c r="N156" s="663">
        <v>0.9508823130724215</v>
      </c>
      <c r="O156" s="662">
        <v>-484459.78000000305</v>
      </c>
      <c r="P156" s="724">
        <v>-0.049117686927578404</v>
      </c>
    </row>
    <row r="157" spans="2:16" ht="18.75" customHeight="1">
      <c r="B157" s="664"/>
      <c r="C157" s="656"/>
      <c r="D157" s="656"/>
      <c r="E157" s="657"/>
      <c r="F157" s="657" t="s">
        <v>590</v>
      </c>
      <c r="G157" s="727"/>
      <c r="H157" s="658"/>
      <c r="I157" s="767"/>
      <c r="J157" s="758" t="s">
        <v>1294</v>
      </c>
      <c r="K157" s="662">
        <v>4068196</v>
      </c>
      <c r="L157" s="662">
        <v>4004021.58</v>
      </c>
      <c r="M157" s="723">
        <v>0.003334453899174394</v>
      </c>
      <c r="N157" s="663">
        <v>0.9842253372256401</v>
      </c>
      <c r="O157" s="662">
        <v>-64174.419999999925</v>
      </c>
      <c r="P157" s="724">
        <v>-0.015774662774359918</v>
      </c>
    </row>
    <row r="158" spans="2:16" ht="18.75" customHeight="1">
      <c r="B158" s="664" t="s">
        <v>242</v>
      </c>
      <c r="C158" s="656">
        <v>40000000</v>
      </c>
      <c r="D158" s="656">
        <v>21669294</v>
      </c>
      <c r="E158" s="663">
        <v>0.017038541779747143</v>
      </c>
      <c r="F158" s="663">
        <v>0.54173235</v>
      </c>
      <c r="G158" s="727">
        <v>-18330706</v>
      </c>
      <c r="H158" s="658">
        <v>-0.45826765</v>
      </c>
      <c r="I158" s="767"/>
      <c r="J158" s="758" t="s">
        <v>1148</v>
      </c>
      <c r="K158" s="662">
        <v>29904098</v>
      </c>
      <c r="L158" s="662">
        <v>29722303.640000004</v>
      </c>
      <c r="M158" s="723">
        <v>0.02475202725177203</v>
      </c>
      <c r="N158" s="663">
        <v>0.9939207542725417</v>
      </c>
      <c r="O158" s="662">
        <v>-181794.35999999568</v>
      </c>
      <c r="P158" s="724">
        <v>-0.006079245727458347</v>
      </c>
    </row>
    <row r="159" spans="2:16" ht="18.75" customHeight="1">
      <c r="B159" s="664"/>
      <c r="C159" s="662"/>
      <c r="D159" s="662"/>
      <c r="E159" s="663"/>
      <c r="F159" s="663" t="s">
        <v>590</v>
      </c>
      <c r="G159" s="727"/>
      <c r="H159" s="658"/>
      <c r="I159" s="767"/>
      <c r="J159" s="671"/>
      <c r="K159" s="662"/>
      <c r="L159" s="662"/>
      <c r="M159" s="723"/>
      <c r="N159" s="663" t="s">
        <v>590</v>
      </c>
      <c r="O159" s="662"/>
      <c r="P159" s="724"/>
    </row>
    <row r="160" spans="2:16" ht="18.75" customHeight="1">
      <c r="B160" s="664" t="s">
        <v>196</v>
      </c>
      <c r="C160" s="656">
        <v>45000000</v>
      </c>
      <c r="D160" s="656">
        <v>56597280.70999999</v>
      </c>
      <c r="E160" s="657">
        <v>0.044502378896027345</v>
      </c>
      <c r="F160" s="657">
        <v>1.2577173491111109</v>
      </c>
      <c r="G160" s="727">
        <v>11597280.709999993</v>
      </c>
      <c r="H160" s="658">
        <v>0.25771734911111094</v>
      </c>
      <c r="I160" s="767"/>
      <c r="J160" s="878" t="s">
        <v>156</v>
      </c>
      <c r="K160" s="656">
        <v>365215431</v>
      </c>
      <c r="L160" s="656">
        <v>360773524.00000006</v>
      </c>
      <c r="M160" s="728">
        <v>0.3004436064554595</v>
      </c>
      <c r="N160" s="657">
        <v>0.9878375703133969</v>
      </c>
      <c r="O160" s="656">
        <v>-4441906.99999994</v>
      </c>
      <c r="P160" s="658">
        <v>-0.012162429686603084</v>
      </c>
    </row>
    <row r="161" spans="2:16" ht="18.75" customHeight="1">
      <c r="B161" s="666"/>
      <c r="C161" s="662"/>
      <c r="D161" s="662"/>
      <c r="E161" s="663"/>
      <c r="F161" s="663" t="s">
        <v>590</v>
      </c>
      <c r="G161" s="727"/>
      <c r="H161" s="658"/>
      <c r="I161" s="767"/>
      <c r="J161" s="758" t="s">
        <v>157</v>
      </c>
      <c r="K161" s="656">
        <v>365215431</v>
      </c>
      <c r="L161" s="656">
        <v>360773524.00000006</v>
      </c>
      <c r="M161" s="728">
        <v>0.3004436064554595</v>
      </c>
      <c r="N161" s="657">
        <v>0.9878375703133969</v>
      </c>
      <c r="O161" s="656">
        <v>-4441906.99999994</v>
      </c>
      <c r="P161" s="658">
        <v>-0.012162429686603084</v>
      </c>
    </row>
    <row r="162" spans="2:16" ht="18.75" customHeight="1">
      <c r="B162" s="664" t="s">
        <v>243</v>
      </c>
      <c r="C162" s="656">
        <v>102000</v>
      </c>
      <c r="D162" s="656">
        <v>94684.71</v>
      </c>
      <c r="E162" s="663">
        <v>7.445048220021576E-05</v>
      </c>
      <c r="F162" s="663">
        <v>0.9282814705882354</v>
      </c>
      <c r="G162" s="727">
        <v>-7315.289999999994</v>
      </c>
      <c r="H162" s="658">
        <v>-0.07171852941176464</v>
      </c>
      <c r="I162" s="767"/>
      <c r="J162" s="758" t="s">
        <v>29</v>
      </c>
      <c r="K162" s="662">
        <v>57085381</v>
      </c>
      <c r="L162" s="662">
        <v>56921976.79</v>
      </c>
      <c r="M162" s="723">
        <v>0.047403267855546834</v>
      </c>
      <c r="N162" s="663">
        <v>0.9971375471769208</v>
      </c>
      <c r="O162" s="662">
        <v>-163404.2100000009</v>
      </c>
      <c r="P162" s="724">
        <v>-0.0028624528230791852</v>
      </c>
    </row>
    <row r="163" spans="2:16" ht="18.75" customHeight="1">
      <c r="B163" s="666"/>
      <c r="C163" s="662"/>
      <c r="D163" s="662"/>
      <c r="E163" s="663"/>
      <c r="F163" s="663" t="s">
        <v>590</v>
      </c>
      <c r="G163" s="727"/>
      <c r="H163" s="658"/>
      <c r="I163" s="767"/>
      <c r="J163" s="758" t="s">
        <v>26</v>
      </c>
      <c r="K163" s="662">
        <v>278984023</v>
      </c>
      <c r="L163" s="662">
        <v>277396279.02000004</v>
      </c>
      <c r="M163" s="723">
        <v>0.23100902073427568</v>
      </c>
      <c r="N163" s="663">
        <v>0.9943088354561438</v>
      </c>
      <c r="O163" s="662">
        <v>-1587743.9799999595</v>
      </c>
      <c r="P163" s="724">
        <v>-0.005691164543856189</v>
      </c>
    </row>
    <row r="164" spans="2:20" ht="18.75" customHeight="1">
      <c r="B164" s="666"/>
      <c r="C164" s="662"/>
      <c r="D164" s="662"/>
      <c r="E164" s="657"/>
      <c r="F164" s="663" t="s">
        <v>590</v>
      </c>
      <c r="G164" s="727"/>
      <c r="H164" s="658"/>
      <c r="I164" s="767"/>
      <c r="J164" s="758" t="s">
        <v>28</v>
      </c>
      <c r="K164" s="662">
        <v>29146027</v>
      </c>
      <c r="L164" s="662">
        <v>26455268.19</v>
      </c>
      <c r="M164" s="723">
        <v>0.022031317865636932</v>
      </c>
      <c r="N164" s="663">
        <v>0.9076800824345631</v>
      </c>
      <c r="O164" s="662">
        <v>-2690758.81</v>
      </c>
      <c r="P164" s="724">
        <v>-0.09231991756543692</v>
      </c>
      <c r="Q164" s="731"/>
      <c r="S164" s="732"/>
      <c r="T164" s="673"/>
    </row>
    <row r="165" spans="2:20" ht="18.75" customHeight="1">
      <c r="B165" s="666"/>
      <c r="C165" s="662"/>
      <c r="D165" s="662"/>
      <c r="E165" s="663"/>
      <c r="F165" s="663" t="s">
        <v>590</v>
      </c>
      <c r="G165" s="727"/>
      <c r="H165" s="658"/>
      <c r="I165" s="767"/>
      <c r="J165" s="671"/>
      <c r="K165" s="662"/>
      <c r="L165" s="662"/>
      <c r="M165" s="723"/>
      <c r="N165" s="663" t="s">
        <v>590</v>
      </c>
      <c r="O165" s="662"/>
      <c r="P165" s="724"/>
      <c r="Q165" s="673"/>
      <c r="S165" s="673"/>
      <c r="T165" s="673"/>
    </row>
    <row r="166" spans="2:20" ht="18.75" customHeight="1">
      <c r="B166" s="661"/>
      <c r="C166" s="662"/>
      <c r="D166" s="662"/>
      <c r="E166" s="663"/>
      <c r="F166" s="663" t="s">
        <v>590</v>
      </c>
      <c r="G166" s="727"/>
      <c r="H166" s="658"/>
      <c r="I166" s="767"/>
      <c r="J166" s="664"/>
      <c r="K166" s="656"/>
      <c r="L166" s="656"/>
      <c r="M166" s="728"/>
      <c r="N166" s="657" t="s">
        <v>590</v>
      </c>
      <c r="O166" s="656"/>
      <c r="P166" s="658"/>
      <c r="Q166" s="673"/>
      <c r="S166" s="673"/>
      <c r="T166" s="673"/>
    </row>
    <row r="167" spans="2:20" ht="18.75" customHeight="1">
      <c r="B167" s="664"/>
      <c r="C167" s="656"/>
      <c r="D167" s="656"/>
      <c r="E167" s="663"/>
      <c r="F167" s="657" t="s">
        <v>590</v>
      </c>
      <c r="G167" s="727"/>
      <c r="H167" s="658"/>
      <c r="I167" s="767"/>
      <c r="J167" s="878" t="s">
        <v>249</v>
      </c>
      <c r="K167" s="656">
        <v>102000</v>
      </c>
      <c r="L167" s="656">
        <v>94684.71</v>
      </c>
      <c r="M167" s="723">
        <v>7.885117353730564E-05</v>
      </c>
      <c r="N167" s="663">
        <v>0.9282814705882352</v>
      </c>
      <c r="O167" s="662">
        <v>-7315.290000000008</v>
      </c>
      <c r="P167" s="724">
        <v>-0.07171852941176479</v>
      </c>
      <c r="Q167" s="673"/>
      <c r="S167" s="673"/>
      <c r="T167" s="673"/>
    </row>
    <row r="168" spans="2:20" ht="18.75" customHeight="1">
      <c r="B168" s="666"/>
      <c r="C168" s="662"/>
      <c r="D168" s="662"/>
      <c r="E168" s="663"/>
      <c r="F168" s="663" t="s">
        <v>590</v>
      </c>
      <c r="G168" s="727"/>
      <c r="H168" s="658"/>
      <c r="I168" s="767"/>
      <c r="J168" s="671" t="s">
        <v>768</v>
      </c>
      <c r="K168" s="656">
        <v>51500</v>
      </c>
      <c r="L168" s="656">
        <v>50011.2</v>
      </c>
      <c r="M168" s="723">
        <v>4.164813738151493E-05</v>
      </c>
      <c r="N168" s="663">
        <v>0.9710912621359225</v>
      </c>
      <c r="O168" s="662">
        <v>-1488.8</v>
      </c>
      <c r="P168" s="724">
        <v>-0.028908737864077584</v>
      </c>
      <c r="Q168" s="673"/>
      <c r="S168" s="673"/>
      <c r="T168" s="673"/>
    </row>
    <row r="169" spans="2:16" ht="18.75" customHeight="1">
      <c r="B169" s="666"/>
      <c r="C169" s="662"/>
      <c r="D169" s="662"/>
      <c r="E169" s="663"/>
      <c r="F169" s="663" t="s">
        <v>590</v>
      </c>
      <c r="G169" s="727"/>
      <c r="H169" s="658"/>
      <c r="I169" s="767"/>
      <c r="J169" s="758" t="s">
        <v>29</v>
      </c>
      <c r="K169" s="662">
        <v>5500</v>
      </c>
      <c r="L169" s="662">
        <v>4342.4</v>
      </c>
      <c r="M169" s="723">
        <v>3.616247395893128E-06</v>
      </c>
      <c r="N169" s="663">
        <v>0.7895272727272726</v>
      </c>
      <c r="O169" s="662">
        <v>-1157.6</v>
      </c>
      <c r="P169" s="724">
        <v>-0.21047272727272734</v>
      </c>
    </row>
    <row r="170" spans="2:16" ht="18.75" customHeight="1">
      <c r="B170" s="661"/>
      <c r="C170" s="662"/>
      <c r="D170" s="662"/>
      <c r="E170" s="663"/>
      <c r="F170" s="663" t="s">
        <v>590</v>
      </c>
      <c r="G170" s="727"/>
      <c r="H170" s="658"/>
      <c r="I170" s="767"/>
      <c r="J170" s="758" t="s">
        <v>26</v>
      </c>
      <c r="K170" s="662">
        <v>46000</v>
      </c>
      <c r="L170" s="662">
        <v>45668.8</v>
      </c>
      <c r="M170" s="723">
        <v>3.8031889985621795E-05</v>
      </c>
      <c r="N170" s="663">
        <v>0.9928</v>
      </c>
      <c r="O170" s="662">
        <v>-331.1999999999971</v>
      </c>
      <c r="P170" s="724">
        <v>-0.0071999999999999365</v>
      </c>
    </row>
    <row r="171" spans="2:16" ht="18.75" customHeight="1">
      <c r="B171" s="664"/>
      <c r="C171" s="656"/>
      <c r="D171" s="656"/>
      <c r="E171" s="663"/>
      <c r="F171" s="657" t="s">
        <v>590</v>
      </c>
      <c r="G171" s="727"/>
      <c r="H171" s="658"/>
      <c r="I171" s="767"/>
      <c r="J171" s="671" t="s">
        <v>157</v>
      </c>
      <c r="K171" s="656">
        <v>50500</v>
      </c>
      <c r="L171" s="656">
        <v>44673.51</v>
      </c>
      <c r="M171" s="723">
        <v>3.720303615579071E-05</v>
      </c>
      <c r="N171" s="663">
        <v>0.8846239603960395</v>
      </c>
      <c r="O171" s="662">
        <v>-5826.49</v>
      </c>
      <c r="P171" s="724">
        <v>-0.1153760396039605</v>
      </c>
    </row>
    <row r="172" spans="2:16" ht="18.75" customHeight="1">
      <c r="B172" s="664"/>
      <c r="C172" s="656"/>
      <c r="D172" s="656"/>
      <c r="E172" s="663"/>
      <c r="F172" s="657" t="s">
        <v>590</v>
      </c>
      <c r="G172" s="727"/>
      <c r="H172" s="658"/>
      <c r="I172" s="767"/>
      <c r="J172" s="758" t="s">
        <v>29</v>
      </c>
      <c r="K172" s="662">
        <v>15000</v>
      </c>
      <c r="L172" s="662">
        <v>14594.16</v>
      </c>
      <c r="M172" s="723">
        <v>1.2153669191057399E-05</v>
      </c>
      <c r="N172" s="663">
        <v>0.972944</v>
      </c>
      <c r="O172" s="662">
        <v>-405.84</v>
      </c>
      <c r="P172" s="724">
        <v>-0.02705600000000001</v>
      </c>
    </row>
    <row r="173" spans="2:16" ht="18.75" customHeight="1">
      <c r="B173" s="664"/>
      <c r="C173" s="656"/>
      <c r="D173" s="656"/>
      <c r="E173" s="663"/>
      <c r="F173" s="657" t="s">
        <v>590</v>
      </c>
      <c r="G173" s="727"/>
      <c r="H173" s="658"/>
      <c r="I173" s="767"/>
      <c r="J173" s="758" t="s">
        <v>26</v>
      </c>
      <c r="K173" s="662">
        <v>26500</v>
      </c>
      <c r="L173" s="662">
        <v>23199.15</v>
      </c>
      <c r="M173" s="723">
        <v>1.9319700113861934E-05</v>
      </c>
      <c r="N173" s="663">
        <v>0.8754396226415095</v>
      </c>
      <c r="O173" s="662">
        <v>-3300.85</v>
      </c>
      <c r="P173" s="724">
        <v>-0.12456037735849051</v>
      </c>
    </row>
    <row r="174" spans="2:16" ht="18.75" customHeight="1">
      <c r="B174" s="664"/>
      <c r="C174" s="656"/>
      <c r="D174" s="656"/>
      <c r="E174" s="657"/>
      <c r="F174" s="657" t="s">
        <v>590</v>
      </c>
      <c r="G174" s="727"/>
      <c r="H174" s="658"/>
      <c r="I174" s="767"/>
      <c r="J174" s="758" t="s">
        <v>28</v>
      </c>
      <c r="K174" s="662">
        <v>9000</v>
      </c>
      <c r="L174" s="662">
        <v>6880.2</v>
      </c>
      <c r="M174" s="723">
        <v>5.7296668508713845E-06</v>
      </c>
      <c r="N174" s="663">
        <v>0.7644666666666666</v>
      </c>
      <c r="O174" s="662">
        <v>-2119.8</v>
      </c>
      <c r="P174" s="724">
        <v>-0.23553333333333334</v>
      </c>
    </row>
    <row r="175" spans="2:16" ht="18.75" customHeight="1">
      <c r="B175" s="664"/>
      <c r="C175" s="656"/>
      <c r="D175" s="656"/>
      <c r="E175" s="663"/>
      <c r="F175" s="657" t="s">
        <v>590</v>
      </c>
      <c r="G175" s="727"/>
      <c r="H175" s="658"/>
      <c r="I175" s="767"/>
      <c r="J175" s="758"/>
      <c r="K175" s="662"/>
      <c r="L175" s="662"/>
      <c r="M175" s="723"/>
      <c r="N175" s="663" t="s">
        <v>590</v>
      </c>
      <c r="O175" s="662"/>
      <c r="P175" s="724"/>
    </row>
    <row r="176" spans="2:16" ht="18.75" customHeight="1">
      <c r="B176" s="664"/>
      <c r="C176" s="656"/>
      <c r="D176" s="656"/>
      <c r="E176" s="663"/>
      <c r="F176" s="657" t="s">
        <v>590</v>
      </c>
      <c r="G176" s="727"/>
      <c r="H176" s="658"/>
      <c r="I176" s="767"/>
      <c r="J176" s="878"/>
      <c r="K176" s="656"/>
      <c r="L176" s="656"/>
      <c r="M176" s="728"/>
      <c r="N176" s="657" t="s">
        <v>590</v>
      </c>
      <c r="O176" s="656"/>
      <c r="P176" s="658"/>
    </row>
    <row r="177" spans="2:16" ht="18.75" customHeight="1">
      <c r="B177" s="664"/>
      <c r="C177" s="656"/>
      <c r="D177" s="656"/>
      <c r="E177" s="663"/>
      <c r="F177" s="657" t="s">
        <v>590</v>
      </c>
      <c r="G177" s="727"/>
      <c r="H177" s="658"/>
      <c r="I177" s="767"/>
      <c r="J177" s="665"/>
      <c r="K177" s="656"/>
      <c r="L177" s="656"/>
      <c r="M177" s="728"/>
      <c r="N177" s="657" t="s">
        <v>590</v>
      </c>
      <c r="O177" s="656"/>
      <c r="P177" s="658"/>
    </row>
    <row r="178" spans="2:16" ht="18.75" customHeight="1">
      <c r="B178" s="661"/>
      <c r="C178" s="662"/>
      <c r="D178" s="662"/>
      <c r="E178" s="663"/>
      <c r="F178" s="663" t="s">
        <v>590</v>
      </c>
      <c r="G178" s="727"/>
      <c r="H178" s="658"/>
      <c r="I178" s="767"/>
      <c r="J178" s="758"/>
      <c r="K178" s="662"/>
      <c r="L178" s="662"/>
      <c r="M178" s="723"/>
      <c r="N178" s="663" t="s">
        <v>590</v>
      </c>
      <c r="O178" s="662"/>
      <c r="P178" s="724"/>
    </row>
    <row r="179" spans="2:16" ht="18.75" customHeight="1">
      <c r="B179" s="664"/>
      <c r="C179" s="656"/>
      <c r="D179" s="656"/>
      <c r="E179" s="663"/>
      <c r="F179" s="657" t="s">
        <v>590</v>
      </c>
      <c r="G179" s="727"/>
      <c r="H179" s="658"/>
      <c r="I179" s="767"/>
      <c r="J179" s="758"/>
      <c r="K179" s="662"/>
      <c r="L179" s="662"/>
      <c r="M179" s="723"/>
      <c r="N179" s="663" t="s">
        <v>590</v>
      </c>
      <c r="O179" s="662"/>
      <c r="P179" s="724"/>
    </row>
    <row r="180" spans="2:16" ht="18.75" customHeight="1">
      <c r="B180" s="666"/>
      <c r="C180" s="662"/>
      <c r="D180" s="662"/>
      <c r="E180" s="663"/>
      <c r="F180" s="663" t="s">
        <v>590</v>
      </c>
      <c r="G180" s="727"/>
      <c r="H180" s="658"/>
      <c r="I180" s="767"/>
      <c r="J180" s="758"/>
      <c r="K180" s="662"/>
      <c r="L180" s="662"/>
      <c r="M180" s="723"/>
      <c r="N180" s="663" t="s">
        <v>590</v>
      </c>
      <c r="O180" s="662"/>
      <c r="P180" s="724"/>
    </row>
    <row r="181" spans="2:16" ht="18.75" customHeight="1">
      <c r="B181" s="666"/>
      <c r="C181" s="662"/>
      <c r="D181" s="662"/>
      <c r="E181" s="663"/>
      <c r="F181" s="663" t="s">
        <v>590</v>
      </c>
      <c r="G181" s="727"/>
      <c r="H181" s="658"/>
      <c r="I181" s="767"/>
      <c r="J181" s="666"/>
      <c r="K181" s="662"/>
      <c r="L181" s="662"/>
      <c r="M181" s="723"/>
      <c r="N181" s="663" t="s">
        <v>590</v>
      </c>
      <c r="O181" s="662"/>
      <c r="P181" s="724"/>
    </row>
    <row r="182" spans="2:16" ht="18.75" customHeight="1">
      <c r="B182" s="666"/>
      <c r="C182" s="662"/>
      <c r="D182" s="662"/>
      <c r="E182" s="663"/>
      <c r="F182" s="663" t="s">
        <v>590</v>
      </c>
      <c r="G182" s="727"/>
      <c r="H182" s="658"/>
      <c r="I182" s="767"/>
      <c r="J182" s="664"/>
      <c r="K182" s="656"/>
      <c r="L182" s="656"/>
      <c r="M182" s="728"/>
      <c r="N182" s="657" t="s">
        <v>590</v>
      </c>
      <c r="O182" s="656"/>
      <c r="P182" s="658"/>
    </row>
    <row r="183" spans="2:16" ht="18.75" customHeight="1">
      <c r="B183" s="666"/>
      <c r="C183" s="662"/>
      <c r="D183" s="662"/>
      <c r="E183" s="663"/>
      <c r="F183" s="663" t="s">
        <v>590</v>
      </c>
      <c r="G183" s="727"/>
      <c r="H183" s="658"/>
      <c r="I183" s="767"/>
      <c r="J183" s="878"/>
      <c r="K183" s="656"/>
      <c r="L183" s="656"/>
      <c r="M183" s="728"/>
      <c r="N183" s="657" t="s">
        <v>590</v>
      </c>
      <c r="O183" s="656"/>
      <c r="P183" s="658"/>
    </row>
    <row r="184" spans="2:16" ht="18.75" customHeight="1">
      <c r="B184" s="666"/>
      <c r="C184" s="662"/>
      <c r="D184" s="662"/>
      <c r="E184" s="663"/>
      <c r="F184" s="663" t="s">
        <v>590</v>
      </c>
      <c r="G184" s="727"/>
      <c r="H184" s="658"/>
      <c r="I184" s="767"/>
      <c r="J184" s="758"/>
      <c r="K184" s="662"/>
      <c r="L184" s="662"/>
      <c r="M184" s="723"/>
      <c r="N184" s="663" t="s">
        <v>590</v>
      </c>
      <c r="O184" s="662"/>
      <c r="P184" s="724"/>
    </row>
    <row r="185" spans="2:16" ht="18.75" customHeight="1">
      <c r="B185" s="661"/>
      <c r="C185" s="670"/>
      <c r="D185" s="670"/>
      <c r="E185" s="663"/>
      <c r="F185" s="663" t="s">
        <v>590</v>
      </c>
      <c r="G185" s="727"/>
      <c r="H185" s="658"/>
      <c r="I185" s="767"/>
      <c r="J185" s="758"/>
      <c r="K185" s="662"/>
      <c r="L185" s="662"/>
      <c r="M185" s="723"/>
      <c r="N185" s="663" t="s">
        <v>590</v>
      </c>
      <c r="O185" s="662"/>
      <c r="P185" s="724"/>
    </row>
    <row r="186" spans="2:16" ht="18.75" customHeight="1">
      <c r="B186" s="661"/>
      <c r="C186" s="662"/>
      <c r="D186" s="662"/>
      <c r="E186" s="657"/>
      <c r="F186" s="663" t="s">
        <v>590</v>
      </c>
      <c r="G186" s="727"/>
      <c r="H186" s="658"/>
      <c r="I186" s="767"/>
      <c r="J186" s="878"/>
      <c r="K186" s="656"/>
      <c r="L186" s="656"/>
      <c r="M186" s="728"/>
      <c r="N186" s="657" t="s">
        <v>590</v>
      </c>
      <c r="O186" s="656"/>
      <c r="P186" s="658"/>
    </row>
    <row r="187" spans="2:16" ht="18.75" customHeight="1">
      <c r="B187" s="664"/>
      <c r="C187" s="662"/>
      <c r="D187" s="662"/>
      <c r="E187" s="657"/>
      <c r="F187" s="663" t="s">
        <v>590</v>
      </c>
      <c r="G187" s="727"/>
      <c r="H187" s="658"/>
      <c r="I187" s="767"/>
      <c r="J187" s="758"/>
      <c r="K187" s="662"/>
      <c r="L187" s="662"/>
      <c r="M187" s="723"/>
      <c r="N187" s="663" t="s">
        <v>590</v>
      </c>
      <c r="O187" s="662"/>
      <c r="P187" s="724"/>
    </row>
    <row r="188" spans="2:16" ht="18.75" customHeight="1">
      <c r="B188" s="661"/>
      <c r="C188" s="662"/>
      <c r="D188" s="662"/>
      <c r="E188" s="657"/>
      <c r="F188" s="663" t="s">
        <v>590</v>
      </c>
      <c r="G188" s="727"/>
      <c r="H188" s="658"/>
      <c r="I188" s="767"/>
      <c r="J188" s="758"/>
      <c r="K188" s="662"/>
      <c r="L188" s="662"/>
      <c r="M188" s="723"/>
      <c r="N188" s="663" t="s">
        <v>590</v>
      </c>
      <c r="O188" s="662"/>
      <c r="P188" s="724"/>
    </row>
    <row r="189" spans="2:16" ht="18.75" customHeight="1">
      <c r="B189" s="664"/>
      <c r="C189" s="662"/>
      <c r="D189" s="662"/>
      <c r="E189" s="663"/>
      <c r="F189" s="663" t="s">
        <v>590</v>
      </c>
      <c r="G189" s="727"/>
      <c r="H189" s="658"/>
      <c r="I189" s="767"/>
      <c r="J189" s="758"/>
      <c r="K189" s="662"/>
      <c r="L189" s="662"/>
      <c r="M189" s="723"/>
      <c r="N189" s="663" t="s">
        <v>590</v>
      </c>
      <c r="O189" s="662"/>
      <c r="P189" s="724"/>
    </row>
    <row r="190" spans="2:16" ht="18.75" customHeight="1">
      <c r="B190" s="664"/>
      <c r="C190" s="662"/>
      <c r="D190" s="662"/>
      <c r="E190" s="663"/>
      <c r="F190" s="663" t="s">
        <v>590</v>
      </c>
      <c r="G190" s="727"/>
      <c r="H190" s="658"/>
      <c r="I190" s="767"/>
      <c r="J190" s="758"/>
      <c r="K190" s="662"/>
      <c r="L190" s="662"/>
      <c r="M190" s="723"/>
      <c r="N190" s="663" t="s">
        <v>590</v>
      </c>
      <c r="O190" s="662"/>
      <c r="P190" s="724"/>
    </row>
    <row r="191" spans="2:16" ht="18.75" customHeight="1">
      <c r="B191" s="664"/>
      <c r="C191" s="662"/>
      <c r="D191" s="662"/>
      <c r="E191" s="663"/>
      <c r="F191" s="663" t="s">
        <v>590</v>
      </c>
      <c r="G191" s="727"/>
      <c r="H191" s="658"/>
      <c r="I191" s="767"/>
      <c r="J191" s="758"/>
      <c r="K191" s="662"/>
      <c r="L191" s="662"/>
      <c r="M191" s="723"/>
      <c r="N191" s="663" t="s">
        <v>590</v>
      </c>
      <c r="O191" s="662"/>
      <c r="P191" s="724"/>
    </row>
    <row r="192" spans="2:16" ht="18.75" customHeight="1">
      <c r="B192" s="664"/>
      <c r="C192" s="662"/>
      <c r="D192" s="662"/>
      <c r="E192" s="663"/>
      <c r="F192" s="663" t="s">
        <v>590</v>
      </c>
      <c r="G192" s="727"/>
      <c r="H192" s="658"/>
      <c r="I192" s="767"/>
      <c r="J192" s="758"/>
      <c r="K192" s="662"/>
      <c r="L192" s="662"/>
      <c r="M192" s="723"/>
      <c r="N192" s="663" t="s">
        <v>590</v>
      </c>
      <c r="O192" s="662"/>
      <c r="P192" s="724"/>
    </row>
    <row r="193" spans="2:16" ht="18.75" customHeight="1">
      <c r="B193" s="664"/>
      <c r="C193" s="662"/>
      <c r="D193" s="662"/>
      <c r="E193" s="663"/>
      <c r="F193" s="663" t="s">
        <v>590</v>
      </c>
      <c r="G193" s="727"/>
      <c r="H193" s="658"/>
      <c r="I193" s="767"/>
      <c r="J193" s="878"/>
      <c r="K193" s="656"/>
      <c r="L193" s="656"/>
      <c r="M193" s="728"/>
      <c r="N193" s="657" t="s">
        <v>590</v>
      </c>
      <c r="O193" s="656"/>
      <c r="P193" s="658"/>
    </row>
    <row r="194" spans="2:16" ht="18.75" customHeight="1">
      <c r="B194" s="664"/>
      <c r="C194" s="662"/>
      <c r="D194" s="662"/>
      <c r="E194" s="663"/>
      <c r="F194" s="663" t="s">
        <v>590</v>
      </c>
      <c r="G194" s="727"/>
      <c r="H194" s="658"/>
      <c r="I194" s="767"/>
      <c r="J194" s="665"/>
      <c r="K194" s="656"/>
      <c r="L194" s="656"/>
      <c r="M194" s="728"/>
      <c r="N194" s="657" t="s">
        <v>590</v>
      </c>
      <c r="O194" s="656"/>
      <c r="P194" s="658"/>
    </row>
    <row r="195" spans="2:16" ht="18.75" customHeight="1">
      <c r="B195" s="664"/>
      <c r="C195" s="662"/>
      <c r="D195" s="662"/>
      <c r="E195" s="663"/>
      <c r="F195" s="663" t="s">
        <v>590</v>
      </c>
      <c r="G195" s="727"/>
      <c r="H195" s="658"/>
      <c r="I195" s="767"/>
      <c r="J195" s="758"/>
      <c r="K195" s="662"/>
      <c r="L195" s="662"/>
      <c r="M195" s="723"/>
      <c r="N195" s="663" t="s">
        <v>590</v>
      </c>
      <c r="O195" s="662"/>
      <c r="P195" s="724"/>
    </row>
    <row r="196" spans="2:16" ht="18.75" customHeight="1">
      <c r="B196" s="664"/>
      <c r="C196" s="662"/>
      <c r="D196" s="662"/>
      <c r="E196" s="663"/>
      <c r="F196" s="663" t="s">
        <v>590</v>
      </c>
      <c r="G196" s="727"/>
      <c r="H196" s="658"/>
      <c r="I196" s="767"/>
      <c r="J196" s="758"/>
      <c r="K196" s="662"/>
      <c r="L196" s="662"/>
      <c r="M196" s="723"/>
      <c r="N196" s="663" t="s">
        <v>590</v>
      </c>
      <c r="O196" s="662"/>
      <c r="P196" s="724"/>
    </row>
    <row r="197" spans="2:16" ht="18.75" customHeight="1">
      <c r="B197" s="664"/>
      <c r="C197" s="662"/>
      <c r="D197" s="662"/>
      <c r="E197" s="663"/>
      <c r="F197" s="663" t="s">
        <v>590</v>
      </c>
      <c r="G197" s="727"/>
      <c r="H197" s="658"/>
      <c r="I197" s="767"/>
      <c r="J197" s="758"/>
      <c r="K197" s="662"/>
      <c r="L197" s="662"/>
      <c r="M197" s="723"/>
      <c r="N197" s="663" t="s">
        <v>590</v>
      </c>
      <c r="O197" s="662"/>
      <c r="P197" s="724"/>
    </row>
    <row r="198" spans="2:16" ht="18.75" customHeight="1">
      <c r="B198" s="729"/>
      <c r="C198" s="662"/>
      <c r="D198" s="662"/>
      <c r="E198" s="663"/>
      <c r="F198" s="663" t="s">
        <v>590</v>
      </c>
      <c r="G198" s="727"/>
      <c r="H198" s="658"/>
      <c r="I198" s="767"/>
      <c r="J198" s="666"/>
      <c r="K198" s="662"/>
      <c r="L198" s="662"/>
      <c r="M198" s="723"/>
      <c r="N198" s="663" t="s">
        <v>590</v>
      </c>
      <c r="O198" s="662"/>
      <c r="P198" s="724"/>
    </row>
    <row r="199" spans="2:16" ht="18.75" customHeight="1">
      <c r="B199" s="664"/>
      <c r="C199" s="662"/>
      <c r="D199" s="662"/>
      <c r="E199" s="663"/>
      <c r="F199" s="663" t="s">
        <v>590</v>
      </c>
      <c r="G199" s="727"/>
      <c r="H199" s="658"/>
      <c r="I199" s="767"/>
      <c r="J199" s="664"/>
      <c r="K199" s="656"/>
      <c r="L199" s="656"/>
      <c r="M199" s="728"/>
      <c r="N199" s="657" t="s">
        <v>590</v>
      </c>
      <c r="O199" s="656"/>
      <c r="P199" s="658"/>
    </row>
    <row r="200" spans="2:16" ht="18.75" customHeight="1">
      <c r="B200" s="729"/>
      <c r="C200" s="662"/>
      <c r="D200" s="662"/>
      <c r="E200" s="663"/>
      <c r="F200" s="663" t="s">
        <v>590</v>
      </c>
      <c r="G200" s="727"/>
      <c r="H200" s="658"/>
      <c r="I200" s="767"/>
      <c r="J200" s="878"/>
      <c r="K200" s="656"/>
      <c r="L200" s="656"/>
      <c r="M200" s="728"/>
      <c r="N200" s="657" t="s">
        <v>590</v>
      </c>
      <c r="O200" s="656"/>
      <c r="P200" s="658"/>
    </row>
    <row r="201" spans="2:16" ht="18.75" customHeight="1">
      <c r="B201" s="655"/>
      <c r="C201" s="662"/>
      <c r="D201" s="662"/>
      <c r="E201" s="663"/>
      <c r="F201" s="663" t="s">
        <v>590</v>
      </c>
      <c r="G201" s="727"/>
      <c r="H201" s="658"/>
      <c r="I201" s="767"/>
      <c r="J201" s="758"/>
      <c r="K201" s="662"/>
      <c r="L201" s="662"/>
      <c r="M201" s="723"/>
      <c r="N201" s="663" t="s">
        <v>590</v>
      </c>
      <c r="O201" s="662"/>
      <c r="P201" s="724"/>
    </row>
    <row r="202" spans="2:16" ht="18.75" customHeight="1">
      <c r="B202" s="655"/>
      <c r="C202" s="656"/>
      <c r="D202" s="656"/>
      <c r="E202" s="663"/>
      <c r="F202" s="657" t="s">
        <v>590</v>
      </c>
      <c r="G202" s="727"/>
      <c r="H202" s="658"/>
      <c r="I202" s="767"/>
      <c r="J202" s="878"/>
      <c r="K202" s="656"/>
      <c r="L202" s="656"/>
      <c r="M202" s="728"/>
      <c r="N202" s="657" t="s">
        <v>590</v>
      </c>
      <c r="O202" s="656"/>
      <c r="P202" s="658"/>
    </row>
    <row r="203" spans="2:16" ht="18.75" customHeight="1">
      <c r="B203" s="655"/>
      <c r="C203" s="656"/>
      <c r="D203" s="656"/>
      <c r="E203" s="663"/>
      <c r="F203" s="657" t="s">
        <v>590</v>
      </c>
      <c r="G203" s="727"/>
      <c r="H203" s="658"/>
      <c r="I203" s="767"/>
      <c r="J203" s="665"/>
      <c r="K203" s="656"/>
      <c r="L203" s="656"/>
      <c r="M203" s="728"/>
      <c r="N203" s="657" t="s">
        <v>590</v>
      </c>
      <c r="O203" s="656"/>
      <c r="P203" s="658"/>
    </row>
    <row r="204" spans="2:16" ht="18.75" customHeight="1">
      <c r="B204" s="661"/>
      <c r="C204" s="656"/>
      <c r="D204" s="656"/>
      <c r="E204" s="663"/>
      <c r="F204" s="657" t="s">
        <v>590</v>
      </c>
      <c r="G204" s="727"/>
      <c r="H204" s="658"/>
      <c r="I204" s="767"/>
      <c r="J204" s="758"/>
      <c r="K204" s="662"/>
      <c r="L204" s="662"/>
      <c r="M204" s="723"/>
      <c r="N204" s="663" t="s">
        <v>590</v>
      </c>
      <c r="O204" s="662"/>
      <c r="P204" s="724"/>
    </row>
    <row r="205" spans="2:16" ht="18.75" customHeight="1">
      <c r="B205" s="664"/>
      <c r="C205" s="656"/>
      <c r="D205" s="656"/>
      <c r="E205" s="663"/>
      <c r="F205" s="657" t="s">
        <v>590</v>
      </c>
      <c r="G205" s="727"/>
      <c r="H205" s="658"/>
      <c r="I205" s="767"/>
      <c r="J205" s="758"/>
      <c r="K205" s="662"/>
      <c r="L205" s="662"/>
      <c r="M205" s="723"/>
      <c r="N205" s="663" t="s">
        <v>590</v>
      </c>
      <c r="O205" s="662"/>
      <c r="P205" s="724"/>
    </row>
    <row r="206" spans="2:16" ht="18.75" customHeight="1">
      <c r="B206" s="666"/>
      <c r="C206" s="656"/>
      <c r="D206" s="656"/>
      <c r="E206" s="663"/>
      <c r="F206" s="657" t="s">
        <v>590</v>
      </c>
      <c r="G206" s="727"/>
      <c r="H206" s="658"/>
      <c r="I206" s="767"/>
      <c r="J206" s="758"/>
      <c r="K206" s="662"/>
      <c r="L206" s="662"/>
      <c r="M206" s="723"/>
      <c r="N206" s="663" t="s">
        <v>590</v>
      </c>
      <c r="O206" s="662"/>
      <c r="P206" s="724"/>
    </row>
    <row r="207" spans="2:16" ht="18.75" customHeight="1">
      <c r="B207" s="664"/>
      <c r="C207" s="662"/>
      <c r="D207" s="662"/>
      <c r="E207" s="663"/>
      <c r="F207" s="663" t="s">
        <v>590</v>
      </c>
      <c r="G207" s="727"/>
      <c r="H207" s="658"/>
      <c r="I207" s="767"/>
      <c r="J207" s="661"/>
      <c r="K207" s="662"/>
      <c r="L207" s="662"/>
      <c r="M207" s="723"/>
      <c r="N207" s="663" t="s">
        <v>590</v>
      </c>
      <c r="O207" s="662"/>
      <c r="P207" s="724"/>
    </row>
    <row r="208" spans="2:16" ht="18.75" customHeight="1">
      <c r="B208" s="661"/>
      <c r="C208" s="662"/>
      <c r="D208" s="662"/>
      <c r="E208" s="663"/>
      <c r="F208" s="663" t="s">
        <v>590</v>
      </c>
      <c r="G208" s="727"/>
      <c r="H208" s="658"/>
      <c r="I208" s="767"/>
      <c r="J208" s="879" t="s">
        <v>969</v>
      </c>
      <c r="K208" s="656">
        <v>21153815</v>
      </c>
      <c r="L208" s="656">
        <v>18667819.05</v>
      </c>
      <c r="M208" s="728">
        <v>0.015546115518277136</v>
      </c>
      <c r="N208" s="657">
        <v>0.8824800183796635</v>
      </c>
      <c r="O208" s="656">
        <v>-2485995.95</v>
      </c>
      <c r="P208" s="658">
        <v>-0.11751998162033653</v>
      </c>
    </row>
    <row r="209" spans="2:16" ht="18.75" customHeight="1">
      <c r="B209" s="729"/>
      <c r="C209" s="662"/>
      <c r="D209" s="662"/>
      <c r="E209" s="663"/>
      <c r="F209" s="663" t="s">
        <v>590</v>
      </c>
      <c r="G209" s="727"/>
      <c r="H209" s="658"/>
      <c r="I209" s="767"/>
      <c r="J209" s="661"/>
      <c r="K209" s="662"/>
      <c r="L209" s="656"/>
      <c r="M209" s="723"/>
      <c r="N209" s="657" t="s">
        <v>590</v>
      </c>
      <c r="O209" s="656"/>
      <c r="P209" s="658"/>
    </row>
    <row r="210" spans="2:16" ht="18.75" customHeight="1">
      <c r="B210" s="671"/>
      <c r="C210" s="662"/>
      <c r="D210" s="662"/>
      <c r="E210" s="663"/>
      <c r="F210" s="663" t="s">
        <v>590</v>
      </c>
      <c r="G210" s="727"/>
      <c r="H210" s="658"/>
      <c r="I210" s="767"/>
      <c r="J210" s="666"/>
      <c r="K210" s="662"/>
      <c r="L210" s="656"/>
      <c r="M210" s="723"/>
      <c r="N210" s="657" t="s">
        <v>590</v>
      </c>
      <c r="O210" s="656"/>
      <c r="P210" s="658"/>
    </row>
    <row r="211" spans="2:16" ht="18.75" customHeight="1">
      <c r="B211" s="671"/>
      <c r="C211" s="662"/>
      <c r="D211" s="662"/>
      <c r="E211" s="663"/>
      <c r="F211" s="663" t="s">
        <v>590</v>
      </c>
      <c r="G211" s="727"/>
      <c r="H211" s="658"/>
      <c r="I211" s="767"/>
      <c r="J211" s="879" t="s">
        <v>688</v>
      </c>
      <c r="K211" s="656">
        <v>25235891.96</v>
      </c>
      <c r="L211" s="656">
        <v>39876618.9600002</v>
      </c>
      <c r="M211" s="728">
        <v>0.03320829943605455</v>
      </c>
      <c r="N211" s="657"/>
      <c r="O211" s="656">
        <v>14640727.000000201</v>
      </c>
      <c r="P211" s="658"/>
    </row>
    <row r="212" spans="2:16" ht="18.75" customHeight="1">
      <c r="B212" s="671"/>
      <c r="C212" s="662"/>
      <c r="D212" s="662"/>
      <c r="E212" s="663"/>
      <c r="F212" s="663"/>
      <c r="G212" s="727"/>
      <c r="H212" s="658"/>
      <c r="I212" s="767"/>
      <c r="J212" s="655" t="s">
        <v>689</v>
      </c>
      <c r="K212" s="656">
        <v>0</v>
      </c>
      <c r="L212" s="656">
        <v>0</v>
      </c>
      <c r="M212" s="728">
        <v>0</v>
      </c>
      <c r="N212" s="657"/>
      <c r="O212" s="656">
        <v>0</v>
      </c>
      <c r="P212" s="658"/>
    </row>
    <row r="213" spans="2:16" ht="18.75" customHeight="1">
      <c r="B213" s="655" t="s">
        <v>1591</v>
      </c>
      <c r="C213" s="656">
        <v>0</v>
      </c>
      <c r="D213" s="656">
        <v>0</v>
      </c>
      <c r="E213" s="657">
        <v>0</v>
      </c>
      <c r="F213" s="657"/>
      <c r="G213" s="727">
        <v>0</v>
      </c>
      <c r="H213" s="658"/>
      <c r="I213" s="767"/>
      <c r="J213" s="655" t="s">
        <v>657</v>
      </c>
      <c r="K213" s="656">
        <v>56337490</v>
      </c>
      <c r="L213" s="656">
        <v>56337490</v>
      </c>
      <c r="M213" s="728">
        <v>0.04691652116425367</v>
      </c>
      <c r="N213" s="657"/>
      <c r="O213" s="656">
        <v>0</v>
      </c>
      <c r="P213" s="658"/>
    </row>
    <row r="214" spans="2:16" ht="18.75" customHeight="1">
      <c r="B214" s="655" t="s">
        <v>1592</v>
      </c>
      <c r="C214" s="656">
        <v>0</v>
      </c>
      <c r="D214" s="656">
        <v>0</v>
      </c>
      <c r="E214" s="657">
        <v>0</v>
      </c>
      <c r="F214" s="657"/>
      <c r="G214" s="727">
        <v>0</v>
      </c>
      <c r="H214" s="658"/>
      <c r="I214" s="767"/>
      <c r="J214" s="664" t="s">
        <v>658</v>
      </c>
      <c r="K214" s="656">
        <v>0</v>
      </c>
      <c r="L214" s="656">
        <v>0</v>
      </c>
      <c r="M214" s="728">
        <v>0</v>
      </c>
      <c r="N214" s="657"/>
      <c r="O214" s="656">
        <v>0</v>
      </c>
      <c r="P214" s="658"/>
    </row>
    <row r="215" spans="2:16" ht="18.75" customHeight="1">
      <c r="B215" s="671"/>
      <c r="C215" s="662"/>
      <c r="D215" s="662"/>
      <c r="E215" s="663"/>
      <c r="F215" s="663" t="s">
        <v>590</v>
      </c>
      <c r="G215" s="727"/>
      <c r="H215" s="658"/>
      <c r="I215" s="767"/>
      <c r="J215" s="651"/>
      <c r="K215" s="656"/>
      <c r="L215" s="656"/>
      <c r="M215" s="728"/>
      <c r="N215" s="657" t="s">
        <v>590</v>
      </c>
      <c r="O215" s="656"/>
      <c r="P215" s="658"/>
    </row>
    <row r="216" spans="2:16" ht="18.75" customHeight="1">
      <c r="B216" s="671"/>
      <c r="C216" s="662"/>
      <c r="D216" s="662"/>
      <c r="E216" s="663"/>
      <c r="F216" s="663" t="s">
        <v>590</v>
      </c>
      <c r="G216" s="727"/>
      <c r="H216" s="658"/>
      <c r="I216" s="767"/>
      <c r="J216" s="779" t="s">
        <v>677</v>
      </c>
      <c r="K216" s="733">
        <v>1222184487</v>
      </c>
      <c r="L216" s="733">
        <v>1200802800.4199998</v>
      </c>
      <c r="M216" s="734">
        <v>1</v>
      </c>
      <c r="N216" s="734">
        <v>0.9825053526636686</v>
      </c>
      <c r="O216" s="733">
        <v>-21381686.580000162</v>
      </c>
      <c r="P216" s="884">
        <v>-0.017494647336331444</v>
      </c>
    </row>
    <row r="217" spans="2:16" ht="18.75" customHeight="1" thickBot="1">
      <c r="B217" s="671"/>
      <c r="C217" s="662"/>
      <c r="D217" s="662"/>
      <c r="E217" s="663"/>
      <c r="F217" s="663" t="s">
        <v>590</v>
      </c>
      <c r="G217" s="727"/>
      <c r="H217" s="658"/>
      <c r="I217" s="767"/>
      <c r="J217" s="725" t="s">
        <v>676</v>
      </c>
      <c r="K217" s="735">
        <v>1278521977</v>
      </c>
      <c r="L217" s="735">
        <v>1257140290.4199998</v>
      </c>
      <c r="M217" s="736"/>
      <c r="N217" s="736">
        <v>0.9832762463495767</v>
      </c>
      <c r="O217" s="735">
        <v>-21381686.580000162</v>
      </c>
      <c r="P217" s="885">
        <v>-0.0167237536504233</v>
      </c>
    </row>
    <row r="218" spans="2:17" ht="41.25" customHeight="1" thickBot="1">
      <c r="B218" s="681" t="s">
        <v>70</v>
      </c>
      <c r="C218" s="737">
        <v>1303757868.96</v>
      </c>
      <c r="D218" s="737">
        <v>1297016909.38</v>
      </c>
      <c r="E218" s="683"/>
      <c r="F218" s="738">
        <v>0.9948295924109151</v>
      </c>
      <c r="G218" s="682">
        <v>-6740959.579999924</v>
      </c>
      <c r="H218" s="684">
        <v>-0.005170407589084887</v>
      </c>
      <c r="I218" s="767"/>
      <c r="J218" s="694" t="s">
        <v>659</v>
      </c>
      <c r="K218" s="739">
        <v>1303757868.96</v>
      </c>
      <c r="L218" s="739">
        <v>1297016909.38</v>
      </c>
      <c r="M218" s="740"/>
      <c r="N218" s="740">
        <v>0.9948295924109151</v>
      </c>
      <c r="O218" s="739">
        <v>-6740959.579999924</v>
      </c>
      <c r="P218" s="784">
        <v>-0.005170407589084887</v>
      </c>
      <c r="Q218" s="689"/>
    </row>
    <row r="219" spans="2:43" s="643" customFormat="1" ht="18.75" customHeight="1" thickBot="1">
      <c r="B219" s="691"/>
      <c r="C219" s="933"/>
      <c r="D219" s="933"/>
      <c r="E219" s="741"/>
      <c r="F219" s="741"/>
      <c r="G219" s="742"/>
      <c r="H219" s="867"/>
      <c r="I219" s="867"/>
      <c r="K219" s="743"/>
      <c r="L219" s="743"/>
      <c r="M219" s="728"/>
      <c r="N219" s="744" t="s">
        <v>590</v>
      </c>
      <c r="P219" s="744"/>
      <c r="Q219" s="642"/>
      <c r="R219" s="642"/>
      <c r="S219" s="642"/>
      <c r="T219" s="642"/>
      <c r="U219" s="642"/>
      <c r="V219" s="642"/>
      <c r="W219" s="642"/>
      <c r="X219" s="642"/>
      <c r="Y219" s="642"/>
      <c r="Z219" s="642"/>
      <c r="AA219" s="642"/>
      <c r="AB219" s="642"/>
      <c r="AC219" s="642"/>
      <c r="AD219" s="642"/>
      <c r="AE219" s="642"/>
      <c r="AF219" s="642"/>
      <c r="AG219" s="642"/>
      <c r="AH219" s="642"/>
      <c r="AI219" s="642"/>
      <c r="AJ219" s="642"/>
      <c r="AK219" s="642"/>
      <c r="AL219" s="642"/>
      <c r="AM219" s="642"/>
      <c r="AN219" s="642"/>
      <c r="AO219" s="642"/>
      <c r="AP219" s="642"/>
      <c r="AQ219" s="642"/>
    </row>
    <row r="220" spans="2:43" s="643" customFormat="1" ht="18.75" customHeight="1" thickBot="1">
      <c r="B220" s="605"/>
      <c r="C220" s="741"/>
      <c r="D220" s="702"/>
      <c r="E220" s="743"/>
      <c r="G220" s="692"/>
      <c r="H220" s="867"/>
      <c r="I220" s="867"/>
      <c r="J220" s="694" t="s">
        <v>687</v>
      </c>
      <c r="K220" s="739">
        <v>0</v>
      </c>
      <c r="L220" s="739">
        <v>14640727.000000238</v>
      </c>
      <c r="M220" s="740"/>
      <c r="N220" s="740" t="s">
        <v>590</v>
      </c>
      <c r="O220" s="739">
        <v>0</v>
      </c>
      <c r="P220" s="784"/>
      <c r="Q220" s="642"/>
      <c r="R220" s="642"/>
      <c r="S220" s="642"/>
      <c r="T220" s="642"/>
      <c r="U220" s="642"/>
      <c r="V220" s="642"/>
      <c r="W220" s="642"/>
      <c r="X220" s="642"/>
      <c r="Y220" s="642"/>
      <c r="Z220" s="642"/>
      <c r="AA220" s="642"/>
      <c r="AB220" s="642"/>
      <c r="AC220" s="642"/>
      <c r="AD220" s="642"/>
      <c r="AE220" s="642"/>
      <c r="AF220" s="642"/>
      <c r="AG220" s="642"/>
      <c r="AH220" s="642"/>
      <c r="AI220" s="642"/>
      <c r="AJ220" s="642"/>
      <c r="AK220" s="642"/>
      <c r="AL220" s="642"/>
      <c r="AM220" s="642"/>
      <c r="AN220" s="642"/>
      <c r="AO220" s="642"/>
      <c r="AP220" s="642"/>
      <c r="AQ220" s="642"/>
    </row>
    <row r="221" spans="2:43" s="643" customFormat="1" ht="18.75" customHeight="1">
      <c r="B221" s="696" t="s">
        <v>537</v>
      </c>
      <c r="C221" s="745"/>
      <c r="D221" s="745"/>
      <c r="E221" s="905"/>
      <c r="F221" s="905" t="s">
        <v>590</v>
      </c>
      <c r="G221" s="888"/>
      <c r="H221" s="900"/>
      <c r="I221" s="692"/>
      <c r="J221" s="746"/>
      <c r="K221" s="702"/>
      <c r="L221" s="699"/>
      <c r="M221" s="699"/>
      <c r="N221" s="747"/>
      <c r="O221" s="747"/>
      <c r="P221" s="747"/>
      <c r="Q221" s="642"/>
      <c r="R221" s="642"/>
      <c r="S221" s="642"/>
      <c r="T221" s="642"/>
      <c r="U221" s="642"/>
      <c r="V221" s="642"/>
      <c r="W221" s="642"/>
      <c r="X221" s="642"/>
      <c r="Y221" s="642"/>
      <c r="Z221" s="642"/>
      <c r="AA221" s="642"/>
      <c r="AB221" s="642"/>
      <c r="AC221" s="642"/>
      <c r="AD221" s="642"/>
      <c r="AE221" s="642"/>
      <c r="AF221" s="642"/>
      <c r="AG221" s="642"/>
      <c r="AH221" s="642"/>
      <c r="AI221" s="642"/>
      <c r="AJ221" s="642"/>
      <c r="AK221" s="642"/>
      <c r="AL221" s="642"/>
      <c r="AM221" s="642"/>
      <c r="AN221" s="642"/>
      <c r="AO221" s="642"/>
      <c r="AP221" s="642"/>
      <c r="AQ221" s="642"/>
    </row>
    <row r="222" spans="2:43" s="643" customFormat="1" ht="45" customHeight="1">
      <c r="B222" s="901" t="s">
        <v>124</v>
      </c>
      <c r="C222" s="656">
        <v>1278521977</v>
      </c>
      <c r="D222" s="656">
        <v>1271781017.42</v>
      </c>
      <c r="E222" s="663"/>
      <c r="F222" s="657">
        <v>0.9947275371864805</v>
      </c>
      <c r="G222" s="656">
        <v>-6740959.579999924</v>
      </c>
      <c r="H222" s="658">
        <v>-0.0052724628135194926</v>
      </c>
      <c r="I222" s="692"/>
      <c r="J222" s="746"/>
      <c r="K222" s="702"/>
      <c r="L222" s="702"/>
      <c r="M222" s="702"/>
      <c r="N222" s="692"/>
      <c r="O222" s="692"/>
      <c r="P222" s="747"/>
      <c r="Q222" s="642"/>
      <c r="R222" s="642"/>
      <c r="S222" s="642"/>
      <c r="T222" s="642"/>
      <c r="U222" s="642"/>
      <c r="V222" s="642"/>
      <c r="W222" s="642"/>
      <c r="X222" s="642"/>
      <c r="Y222" s="642"/>
      <c r="Z222" s="642"/>
      <c r="AA222" s="642"/>
      <c r="AB222" s="642"/>
      <c r="AC222" s="642"/>
      <c r="AD222" s="642"/>
      <c r="AE222" s="642"/>
      <c r="AF222" s="642"/>
      <c r="AG222" s="642"/>
      <c r="AH222" s="642"/>
      <c r="AI222" s="642"/>
      <c r="AJ222" s="642"/>
      <c r="AK222" s="642"/>
      <c r="AL222" s="642"/>
      <c r="AM222" s="642"/>
      <c r="AN222" s="642"/>
      <c r="AO222" s="642"/>
      <c r="AP222" s="642"/>
      <c r="AQ222" s="642"/>
    </row>
    <row r="223" spans="2:43" s="643" customFormat="1" ht="18.75" customHeight="1">
      <c r="B223" s="664" t="s">
        <v>1596</v>
      </c>
      <c r="C223" s="656">
        <v>1278521977</v>
      </c>
      <c r="D223" s="656">
        <v>1271781017.42</v>
      </c>
      <c r="E223" s="663"/>
      <c r="F223" s="657">
        <v>0.9947275371864805</v>
      </c>
      <c r="G223" s="656">
        <v>-6740959.579999924</v>
      </c>
      <c r="H223" s="658">
        <v>-0.0052724628135194926</v>
      </c>
      <c r="I223" s="692"/>
      <c r="K223" s="702"/>
      <c r="L223" s="702"/>
      <c r="M223" s="699"/>
      <c r="N223" s="747"/>
      <c r="O223" s="747"/>
      <c r="P223" s="747"/>
      <c r="Q223" s="642"/>
      <c r="R223" s="642"/>
      <c r="S223" s="642"/>
      <c r="T223" s="642"/>
      <c r="U223" s="642"/>
      <c r="V223" s="642"/>
      <c r="W223" s="642"/>
      <c r="X223" s="642"/>
      <c r="Y223" s="642"/>
      <c r="Z223" s="642"/>
      <c r="AA223" s="642"/>
      <c r="AB223" s="642"/>
      <c r="AC223" s="642"/>
      <c r="AD223" s="642"/>
      <c r="AE223" s="642"/>
      <c r="AF223" s="642"/>
      <c r="AG223" s="642"/>
      <c r="AH223" s="642"/>
      <c r="AI223" s="642"/>
      <c r="AJ223" s="642"/>
      <c r="AK223" s="642"/>
      <c r="AL223" s="642"/>
      <c r="AM223" s="642"/>
      <c r="AN223" s="642"/>
      <c r="AO223" s="642"/>
      <c r="AP223" s="642"/>
      <c r="AQ223" s="642"/>
    </row>
    <row r="224" spans="2:43" s="643" customFormat="1" ht="18.75" customHeight="1">
      <c r="B224" s="664" t="s">
        <v>1597</v>
      </c>
      <c r="C224" s="656">
        <v>1278521977</v>
      </c>
      <c r="D224" s="656">
        <v>1271781017.42</v>
      </c>
      <c r="E224" s="657">
        <v>1</v>
      </c>
      <c r="F224" s="657">
        <v>0.9947275371864805</v>
      </c>
      <c r="G224" s="656">
        <v>-6740959.579999924</v>
      </c>
      <c r="H224" s="658">
        <v>-0.0052724628135194926</v>
      </c>
      <c r="I224" s="692"/>
      <c r="J224" s="746"/>
      <c r="K224" s="702"/>
      <c r="L224" s="699"/>
      <c r="M224" s="699"/>
      <c r="N224" s="747"/>
      <c r="O224" s="747"/>
      <c r="P224" s="747"/>
      <c r="Q224" s="642"/>
      <c r="R224" s="642"/>
      <c r="S224" s="642"/>
      <c r="T224" s="642"/>
      <c r="U224" s="642"/>
      <c r="V224" s="642"/>
      <c r="W224" s="642"/>
      <c r="X224" s="642"/>
      <c r="Y224" s="642"/>
      <c r="Z224" s="642"/>
      <c r="AA224" s="642"/>
      <c r="AB224" s="642"/>
      <c r="AC224" s="642"/>
      <c r="AD224" s="642"/>
      <c r="AE224" s="642"/>
      <c r="AF224" s="642"/>
      <c r="AG224" s="642"/>
      <c r="AH224" s="642"/>
      <c r="AI224" s="642"/>
      <c r="AJ224" s="642"/>
      <c r="AK224" s="642"/>
      <c r="AL224" s="642"/>
      <c r="AM224" s="642"/>
      <c r="AN224" s="642"/>
      <c r="AO224" s="642"/>
      <c r="AP224" s="642"/>
      <c r="AQ224" s="642"/>
    </row>
    <row r="225" spans="2:43" s="643" customFormat="1" ht="43.5" customHeight="1" thickBot="1">
      <c r="B225" s="902" t="s">
        <v>69</v>
      </c>
      <c r="C225" s="703">
        <v>1278521977</v>
      </c>
      <c r="D225" s="703">
        <v>1271781017.42</v>
      </c>
      <c r="E225" s="906"/>
      <c r="F225" s="903">
        <v>0.9947275371864805</v>
      </c>
      <c r="G225" s="703">
        <v>-6740959.579999924</v>
      </c>
      <c r="H225" s="904">
        <v>-0.0052724628135194926</v>
      </c>
      <c r="I225" s="692"/>
      <c r="J225" s="746"/>
      <c r="K225" s="702"/>
      <c r="L225" s="699"/>
      <c r="M225" s="699"/>
      <c r="N225" s="747"/>
      <c r="O225" s="747"/>
      <c r="P225" s="747"/>
      <c r="Q225" s="642"/>
      <c r="R225" s="642"/>
      <c r="S225" s="642"/>
      <c r="T225" s="642"/>
      <c r="U225" s="642"/>
      <c r="V225" s="642"/>
      <c r="W225" s="642"/>
      <c r="X225" s="642"/>
      <c r="Y225" s="642"/>
      <c r="Z225" s="642"/>
      <c r="AA225" s="642"/>
      <c r="AB225" s="642"/>
      <c r="AC225" s="642"/>
      <c r="AD225" s="642"/>
      <c r="AE225" s="642"/>
      <c r="AF225" s="642"/>
      <c r="AG225" s="642"/>
      <c r="AH225" s="642"/>
      <c r="AI225" s="642"/>
      <c r="AJ225" s="642"/>
      <c r="AK225" s="642"/>
      <c r="AL225" s="642"/>
      <c r="AM225" s="642"/>
      <c r="AN225" s="642"/>
      <c r="AO225" s="642"/>
      <c r="AP225" s="642"/>
      <c r="AQ225" s="642"/>
    </row>
    <row r="226" spans="2:16" ht="18.75" customHeight="1">
      <c r="B226" s="748"/>
      <c r="C226" s="749"/>
      <c r="D226" s="749"/>
      <c r="E226" s="749"/>
      <c r="F226" s="749"/>
      <c r="G226" s="749"/>
      <c r="H226" s="749"/>
      <c r="I226" s="749"/>
      <c r="J226" s="748"/>
      <c r="K226" s="749"/>
      <c r="L226" s="749"/>
      <c r="M226" s="749"/>
      <c r="N226" s="749"/>
      <c r="O226" s="749"/>
      <c r="P226" s="749"/>
    </row>
    <row r="227" spans="2:16" ht="18.75" customHeight="1">
      <c r="B227" s="946" t="s">
        <v>241</v>
      </c>
      <c r="C227" s="946"/>
      <c r="D227" s="946"/>
      <c r="E227" s="946"/>
      <c r="F227" s="946"/>
      <c r="G227" s="946"/>
      <c r="H227" s="946"/>
      <c r="I227" s="706"/>
      <c r="J227" s="941" t="s">
        <v>241</v>
      </c>
      <c r="K227" s="941"/>
      <c r="L227" s="941"/>
      <c r="M227" s="941"/>
      <c r="N227" s="941"/>
      <c r="O227" s="941"/>
      <c r="P227" s="941"/>
    </row>
    <row r="228" spans="2:16" ht="18.75" customHeight="1">
      <c r="B228" s="946" t="s">
        <v>473</v>
      </c>
      <c r="C228" s="946"/>
      <c r="D228" s="946"/>
      <c r="E228" s="946"/>
      <c r="F228" s="946"/>
      <c r="G228" s="946"/>
      <c r="H228" s="946"/>
      <c r="I228" s="706"/>
      <c r="J228" s="946" t="s">
        <v>473</v>
      </c>
      <c r="K228" s="946"/>
      <c r="L228" s="946"/>
      <c r="M228" s="946"/>
      <c r="N228" s="946"/>
      <c r="O228" s="946"/>
      <c r="P228" s="946"/>
    </row>
    <row r="229" spans="2:16" ht="18.75" customHeight="1">
      <c r="B229" s="946" t="s">
        <v>1084</v>
      </c>
      <c r="C229" s="946"/>
      <c r="D229" s="946"/>
      <c r="E229" s="946"/>
      <c r="F229" s="946"/>
      <c r="G229" s="946"/>
      <c r="H229" s="946"/>
      <c r="I229" s="706"/>
      <c r="J229" s="946" t="s">
        <v>1084</v>
      </c>
      <c r="K229" s="946"/>
      <c r="L229" s="946"/>
      <c r="M229" s="946"/>
      <c r="N229" s="946"/>
      <c r="O229" s="946"/>
      <c r="P229" s="946"/>
    </row>
    <row r="230" spans="2:16" ht="20.25" thickBot="1">
      <c r="B230" s="701"/>
      <c r="C230" s="750"/>
      <c r="D230" s="750"/>
      <c r="E230" s="750"/>
      <c r="F230" s="750"/>
      <c r="G230" s="751"/>
      <c r="H230" s="605" t="s">
        <v>62</v>
      </c>
      <c r="I230" s="871"/>
      <c r="J230" s="701"/>
      <c r="K230" s="750"/>
      <c r="L230" s="750"/>
      <c r="M230" s="750"/>
      <c r="N230" s="750"/>
      <c r="O230" s="751"/>
      <c r="P230" s="605" t="s">
        <v>62</v>
      </c>
    </row>
    <row r="231" spans="2:43" s="609" customFormat="1" ht="37.5" customHeight="1">
      <c r="B231" s="606"/>
      <c r="C231" s="607"/>
      <c r="D231" s="942" t="s">
        <v>412</v>
      </c>
      <c r="E231" s="942" t="s">
        <v>413</v>
      </c>
      <c r="F231" s="942" t="s">
        <v>414</v>
      </c>
      <c r="G231" s="944" t="s">
        <v>418</v>
      </c>
      <c r="H231" s="945"/>
      <c r="I231" s="866"/>
      <c r="J231" s="606"/>
      <c r="K231" s="607"/>
      <c r="L231" s="942" t="s">
        <v>412</v>
      </c>
      <c r="M231" s="942" t="s">
        <v>413</v>
      </c>
      <c r="N231" s="942" t="s">
        <v>414</v>
      </c>
      <c r="O231" s="944" t="s">
        <v>418</v>
      </c>
      <c r="P231" s="945"/>
      <c r="Q231" s="608"/>
      <c r="R231" s="608"/>
      <c r="S231" s="608"/>
      <c r="T231" s="608"/>
      <c r="U231" s="608"/>
      <c r="V231" s="608"/>
      <c r="W231" s="608"/>
      <c r="X231" s="608"/>
      <c r="Y231" s="608"/>
      <c r="Z231" s="608"/>
      <c r="AA231" s="608"/>
      <c r="AB231" s="608"/>
      <c r="AC231" s="608"/>
      <c r="AD231" s="608"/>
      <c r="AE231" s="608"/>
      <c r="AF231" s="608"/>
      <c r="AG231" s="608"/>
      <c r="AH231" s="608"/>
      <c r="AI231" s="608"/>
      <c r="AJ231" s="608"/>
      <c r="AK231" s="608"/>
      <c r="AL231" s="608"/>
      <c r="AM231" s="608"/>
      <c r="AN231" s="608"/>
      <c r="AO231" s="608"/>
      <c r="AP231" s="608"/>
      <c r="AQ231" s="608"/>
    </row>
    <row r="232" spans="2:43" s="609" customFormat="1" ht="68.25" customHeight="1">
      <c r="B232" s="610" t="s">
        <v>1080</v>
      </c>
      <c r="C232" s="611" t="s">
        <v>411</v>
      </c>
      <c r="D232" s="943"/>
      <c r="E232" s="943"/>
      <c r="F232" s="943"/>
      <c r="G232" s="707" t="s">
        <v>416</v>
      </c>
      <c r="H232" s="708" t="s">
        <v>419</v>
      </c>
      <c r="I232" s="866"/>
      <c r="J232" s="610" t="s">
        <v>1080</v>
      </c>
      <c r="K232" s="611" t="s">
        <v>411</v>
      </c>
      <c r="L232" s="943"/>
      <c r="M232" s="943"/>
      <c r="N232" s="943"/>
      <c r="O232" s="707" t="s">
        <v>416</v>
      </c>
      <c r="P232" s="708" t="s">
        <v>419</v>
      </c>
      <c r="Q232" s="608"/>
      <c r="R232" s="608"/>
      <c r="S232" s="608"/>
      <c r="T232" s="608"/>
      <c r="U232" s="608"/>
      <c r="V232" s="608"/>
      <c r="W232" s="608"/>
      <c r="X232" s="608"/>
      <c r="Y232" s="608"/>
      <c r="Z232" s="608"/>
      <c r="AA232" s="608"/>
      <c r="AB232" s="608"/>
      <c r="AC232" s="608"/>
      <c r="AD232" s="608"/>
      <c r="AE232" s="608"/>
      <c r="AF232" s="608"/>
      <c r="AG232" s="608"/>
      <c r="AH232" s="608"/>
      <c r="AI232" s="608"/>
      <c r="AJ232" s="608"/>
      <c r="AK232" s="608"/>
      <c r="AL232" s="608"/>
      <c r="AM232" s="608"/>
      <c r="AN232" s="608"/>
      <c r="AO232" s="608"/>
      <c r="AP232" s="608"/>
      <c r="AQ232" s="608"/>
    </row>
    <row r="233" spans="2:43" s="609" customFormat="1" ht="37.5" customHeight="1">
      <c r="B233" s="709"/>
      <c r="C233" s="710">
        <v>2011</v>
      </c>
      <c r="D233" s="711">
        <v>2011</v>
      </c>
      <c r="E233" s="711">
        <v>2011</v>
      </c>
      <c r="F233" s="711">
        <v>2011</v>
      </c>
      <c r="G233" s="711">
        <v>2011</v>
      </c>
      <c r="H233" s="712">
        <v>2011</v>
      </c>
      <c r="I233" s="872"/>
      <c r="J233" s="709"/>
      <c r="K233" s="614">
        <v>2011</v>
      </c>
      <c r="L233" s="615">
        <v>2011</v>
      </c>
      <c r="M233" s="615">
        <v>2011</v>
      </c>
      <c r="N233" s="615">
        <v>2011</v>
      </c>
      <c r="O233" s="615">
        <v>2011</v>
      </c>
      <c r="P233" s="615">
        <v>2011</v>
      </c>
      <c r="Q233" s="608"/>
      <c r="R233" s="608"/>
      <c r="S233" s="608"/>
      <c r="T233" s="608"/>
      <c r="U233" s="608"/>
      <c r="V233" s="608"/>
      <c r="W233" s="608"/>
      <c r="X233" s="608"/>
      <c r="Y233" s="608"/>
      <c r="Z233" s="608"/>
      <c r="AA233" s="608"/>
      <c r="AB233" s="608"/>
      <c r="AC233" s="608"/>
      <c r="AD233" s="608"/>
      <c r="AE233" s="608"/>
      <c r="AF233" s="608"/>
      <c r="AG233" s="608"/>
      <c r="AH233" s="608"/>
      <c r="AI233" s="608"/>
      <c r="AJ233" s="608"/>
      <c r="AK233" s="608"/>
      <c r="AL233" s="608"/>
      <c r="AM233" s="608"/>
      <c r="AN233" s="608"/>
      <c r="AO233" s="608"/>
      <c r="AP233" s="608"/>
      <c r="AQ233" s="608"/>
    </row>
    <row r="234" spans="2:16" ht="19.5">
      <c r="B234" s="713"/>
      <c r="C234" s="618" t="s">
        <v>1131</v>
      </c>
      <c r="D234" s="619" t="s">
        <v>1129</v>
      </c>
      <c r="E234" s="619" t="s">
        <v>1130</v>
      </c>
      <c r="F234" s="620" t="s">
        <v>415</v>
      </c>
      <c r="G234" s="621" t="s">
        <v>417</v>
      </c>
      <c r="H234" s="622" t="s">
        <v>17</v>
      </c>
      <c r="I234" s="873"/>
      <c r="J234" s="713"/>
      <c r="K234" s="618" t="s">
        <v>1131</v>
      </c>
      <c r="L234" s="619" t="s">
        <v>1129</v>
      </c>
      <c r="M234" s="619" t="s">
        <v>1130</v>
      </c>
      <c r="N234" s="620" t="s">
        <v>415</v>
      </c>
      <c r="O234" s="621" t="s">
        <v>417</v>
      </c>
      <c r="P234" s="622" t="s">
        <v>17</v>
      </c>
    </row>
    <row r="235" spans="2:16" ht="19.5" customHeight="1">
      <c r="B235" s="623" t="s">
        <v>420</v>
      </c>
      <c r="C235" s="624"/>
      <c r="D235" s="624"/>
      <c r="E235" s="626"/>
      <c r="F235" s="634"/>
      <c r="G235" s="624">
        <v>0</v>
      </c>
      <c r="H235" s="752"/>
      <c r="I235" s="867"/>
      <c r="J235" s="874"/>
      <c r="K235" s="714"/>
      <c r="L235" s="715"/>
      <c r="M235" s="715"/>
      <c r="N235" s="653"/>
      <c r="O235" s="716"/>
      <c r="P235" s="717"/>
    </row>
    <row r="236" spans="2:16" ht="19.5" customHeight="1">
      <c r="B236" s="633" t="s">
        <v>421</v>
      </c>
      <c r="C236" s="718"/>
      <c r="D236" s="718"/>
      <c r="E236" s="626"/>
      <c r="F236" s="638"/>
      <c r="G236" s="718">
        <v>0</v>
      </c>
      <c r="H236" s="752"/>
      <c r="I236" s="867"/>
      <c r="J236" s="874"/>
      <c r="K236" s="714"/>
      <c r="L236" s="715"/>
      <c r="M236" s="715"/>
      <c r="N236" s="653"/>
      <c r="O236" s="716"/>
      <c r="P236" s="717"/>
    </row>
    <row r="237" spans="2:16" ht="19.5" customHeight="1">
      <c r="B237" s="635" t="s">
        <v>422</v>
      </c>
      <c r="C237" s="624">
        <v>0</v>
      </c>
      <c r="D237" s="624">
        <v>0</v>
      </c>
      <c r="E237" s="626"/>
      <c r="F237" s="634"/>
      <c r="G237" s="624">
        <v>0</v>
      </c>
      <c r="H237" s="752"/>
      <c r="I237" s="867"/>
      <c r="J237" s="874"/>
      <c r="K237" s="714"/>
      <c r="L237" s="715"/>
      <c r="M237" s="715"/>
      <c r="N237" s="653"/>
      <c r="O237" s="716"/>
      <c r="P237" s="717"/>
    </row>
    <row r="238" spans="2:16" ht="18.75" customHeight="1">
      <c r="B238" s="636" t="s">
        <v>423</v>
      </c>
      <c r="C238" s="637">
        <v>368876794.732368</v>
      </c>
      <c r="D238" s="637">
        <v>368876794.732368</v>
      </c>
      <c r="E238" s="753"/>
      <c r="F238" s="638">
        <v>1</v>
      </c>
      <c r="G238" s="637">
        <v>0</v>
      </c>
      <c r="H238" s="754">
        <v>0</v>
      </c>
      <c r="I238" s="925"/>
      <c r="J238" s="877"/>
      <c r="K238" s="714"/>
      <c r="L238" s="714"/>
      <c r="M238" s="714"/>
      <c r="N238" s="719" t="s">
        <v>590</v>
      </c>
      <c r="O238" s="719" t="s">
        <v>590</v>
      </c>
      <c r="P238" s="721"/>
    </row>
    <row r="239" spans="2:16" ht="18.75" customHeight="1">
      <c r="B239" s="636" t="s">
        <v>424</v>
      </c>
      <c r="C239" s="637">
        <v>123947266</v>
      </c>
      <c r="D239" s="637">
        <v>123947266</v>
      </c>
      <c r="E239" s="753"/>
      <c r="F239" s="638">
        <v>1</v>
      </c>
      <c r="G239" s="637">
        <v>0</v>
      </c>
      <c r="H239" s="754">
        <v>0</v>
      </c>
      <c r="I239" s="925"/>
      <c r="J239" s="877"/>
      <c r="K239" s="714"/>
      <c r="L239" s="714"/>
      <c r="M239" s="714"/>
      <c r="N239" s="719" t="s">
        <v>590</v>
      </c>
      <c r="O239" s="720" t="s">
        <v>590</v>
      </c>
      <c r="P239" s="721"/>
    </row>
    <row r="240" spans="2:17" ht="18.75" customHeight="1">
      <c r="B240" s="646" t="s">
        <v>1588</v>
      </c>
      <c r="C240" s="647">
        <v>492824060.732368</v>
      </c>
      <c r="D240" s="647">
        <v>492824060.732368</v>
      </c>
      <c r="E240" s="634"/>
      <c r="F240" s="634">
        <v>1</v>
      </c>
      <c r="G240" s="647">
        <v>0</v>
      </c>
      <c r="H240" s="752">
        <v>0</v>
      </c>
      <c r="I240" s="867"/>
      <c r="J240" s="880"/>
      <c r="K240" s="662"/>
      <c r="L240" s="662"/>
      <c r="M240" s="662"/>
      <c r="N240" s="663" t="s">
        <v>590</v>
      </c>
      <c r="O240" s="723" t="s">
        <v>590</v>
      </c>
      <c r="P240" s="724"/>
      <c r="Q240" s="642"/>
    </row>
    <row r="241" spans="2:16" ht="18.75" customHeight="1">
      <c r="B241" s="655"/>
      <c r="C241" s="662"/>
      <c r="D241" s="662"/>
      <c r="E241" s="663"/>
      <c r="F241" s="663" t="s">
        <v>590</v>
      </c>
      <c r="G241" s="662"/>
      <c r="H241" s="724"/>
      <c r="I241" s="771"/>
      <c r="J241" s="655"/>
      <c r="K241" s="662"/>
      <c r="L241" s="662"/>
      <c r="M241" s="662"/>
      <c r="N241" s="663" t="s">
        <v>590</v>
      </c>
      <c r="O241" s="723" t="s">
        <v>590</v>
      </c>
      <c r="P241" s="724"/>
    </row>
    <row r="242" spans="2:16" ht="18.75" customHeight="1">
      <c r="B242" s="655" t="s">
        <v>82</v>
      </c>
      <c r="C242" s="656">
        <v>1644698842</v>
      </c>
      <c r="D242" s="656">
        <v>1654871492.08</v>
      </c>
      <c r="E242" s="657">
        <v>0.9983171410869789</v>
      </c>
      <c r="F242" s="657">
        <v>1.0061851141499132</v>
      </c>
      <c r="G242" s="656">
        <v>10172650.079999924</v>
      </c>
      <c r="H242" s="658">
        <v>0.00618511414991312</v>
      </c>
      <c r="I242" s="767"/>
      <c r="J242" s="655" t="s">
        <v>82</v>
      </c>
      <c r="K242" s="656">
        <v>1711762169</v>
      </c>
      <c r="L242" s="656">
        <v>1625475407.38</v>
      </c>
      <c r="M242" s="657">
        <v>0.9955051554531356</v>
      </c>
      <c r="N242" s="657">
        <v>0.9495918514951127</v>
      </c>
      <c r="O242" s="656">
        <v>-86286761.61999989</v>
      </c>
      <c r="P242" s="658">
        <v>-0.050408148504887236</v>
      </c>
    </row>
    <row r="243" spans="2:16" ht="18.75" customHeight="1">
      <c r="B243" s="755"/>
      <c r="C243" s="662"/>
      <c r="D243" s="662"/>
      <c r="E243" s="657"/>
      <c r="F243" s="663" t="s">
        <v>590</v>
      </c>
      <c r="G243" s="662"/>
      <c r="H243" s="724"/>
      <c r="I243" s="771"/>
      <c r="J243" s="755"/>
      <c r="K243" s="662"/>
      <c r="L243" s="662"/>
      <c r="M243" s="663"/>
      <c r="N243" s="663"/>
      <c r="O243" s="662"/>
      <c r="P243" s="724"/>
    </row>
    <row r="244" spans="2:17" ht="18.75" customHeight="1">
      <c r="B244" s="664" t="s">
        <v>739</v>
      </c>
      <c r="C244" s="656">
        <v>1339631007</v>
      </c>
      <c r="D244" s="656">
        <v>1339631007</v>
      </c>
      <c r="E244" s="657">
        <v>0.8081452870632079</v>
      </c>
      <c r="F244" s="657">
        <v>1</v>
      </c>
      <c r="G244" s="656">
        <v>0</v>
      </c>
      <c r="H244" s="658">
        <v>0</v>
      </c>
      <c r="I244" s="767"/>
      <c r="J244" s="655" t="s">
        <v>356</v>
      </c>
      <c r="K244" s="656">
        <v>1681924514</v>
      </c>
      <c r="L244" s="656">
        <v>1600091482.13</v>
      </c>
      <c r="M244" s="657">
        <v>0.9799590399368492</v>
      </c>
      <c r="N244" s="657">
        <v>0.9513455977430388</v>
      </c>
      <c r="O244" s="656">
        <v>-81833031.86999989</v>
      </c>
      <c r="P244" s="658">
        <v>-0.04865440225696115</v>
      </c>
      <c r="Q244" s="756"/>
    </row>
    <row r="245" spans="2:16" ht="18.75" customHeight="1">
      <c r="B245" s="665" t="s">
        <v>357</v>
      </c>
      <c r="C245" s="662">
        <v>1339631007</v>
      </c>
      <c r="D245" s="662">
        <v>1339631007</v>
      </c>
      <c r="E245" s="663">
        <v>0.8081452870632079</v>
      </c>
      <c r="F245" s="663">
        <v>1</v>
      </c>
      <c r="G245" s="662">
        <v>0</v>
      </c>
      <c r="H245" s="724">
        <v>0</v>
      </c>
      <c r="I245" s="771"/>
      <c r="J245" s="661"/>
      <c r="K245" s="662"/>
      <c r="L245" s="662"/>
      <c r="M245" s="663"/>
      <c r="N245" s="663"/>
      <c r="O245" s="662"/>
      <c r="P245" s="724"/>
    </row>
    <row r="246" spans="2:16" ht="18.75" customHeight="1">
      <c r="B246" s="666"/>
      <c r="C246" s="662"/>
      <c r="D246" s="662"/>
      <c r="E246" s="657"/>
      <c r="F246" s="663" t="s">
        <v>590</v>
      </c>
      <c r="G246" s="662"/>
      <c r="H246" s="724"/>
      <c r="I246" s="771"/>
      <c r="J246" s="665" t="s">
        <v>878</v>
      </c>
      <c r="K246" s="662">
        <v>21857928</v>
      </c>
      <c r="L246" s="662">
        <v>19312133.610000003</v>
      </c>
      <c r="M246" s="663">
        <v>0.011827511191044627</v>
      </c>
      <c r="N246" s="663">
        <v>0.8835299306503345</v>
      </c>
      <c r="O246" s="662">
        <v>-2545794.39</v>
      </c>
      <c r="P246" s="724">
        <v>-0.11647006934966557</v>
      </c>
    </row>
    <row r="247" spans="2:16" ht="18.75" customHeight="1">
      <c r="B247" s="664" t="s">
        <v>358</v>
      </c>
      <c r="C247" s="656">
        <v>123500000</v>
      </c>
      <c r="D247" s="656">
        <v>125500000</v>
      </c>
      <c r="E247" s="657">
        <v>0.0757090818266142</v>
      </c>
      <c r="F247" s="657">
        <v>1.0161943319838056</v>
      </c>
      <c r="G247" s="656">
        <v>2000000</v>
      </c>
      <c r="H247" s="658">
        <v>0.016194331983805668</v>
      </c>
      <c r="I247" s="767"/>
      <c r="J247" s="665" t="s">
        <v>1111</v>
      </c>
      <c r="K247" s="662">
        <v>1415794</v>
      </c>
      <c r="L247" s="662">
        <v>650340.21</v>
      </c>
      <c r="M247" s="663">
        <v>0.0003982939569027408</v>
      </c>
      <c r="N247" s="663">
        <v>0.45934663517432617</v>
      </c>
      <c r="O247" s="662">
        <v>-765453.79</v>
      </c>
      <c r="P247" s="724">
        <v>-0.5406533648256738</v>
      </c>
    </row>
    <row r="248" spans="2:16" ht="18.75" customHeight="1">
      <c r="B248" s="665" t="s">
        <v>1242</v>
      </c>
      <c r="C248" s="662">
        <v>123500000</v>
      </c>
      <c r="D248" s="662">
        <v>125500000</v>
      </c>
      <c r="E248" s="663">
        <v>0.0757090818266142</v>
      </c>
      <c r="F248" s="663">
        <v>1.0161943319838056</v>
      </c>
      <c r="G248" s="662">
        <v>2000000</v>
      </c>
      <c r="H248" s="724">
        <v>0.016194331983805668</v>
      </c>
      <c r="I248" s="771"/>
      <c r="J248" s="665" t="s">
        <v>877</v>
      </c>
      <c r="K248" s="662">
        <v>34216990</v>
      </c>
      <c r="L248" s="662">
        <v>31816233.5</v>
      </c>
      <c r="M248" s="663">
        <v>0.019485514411690056</v>
      </c>
      <c r="N248" s="663">
        <v>0.9298372972023548</v>
      </c>
      <c r="O248" s="662">
        <v>-2400756.5</v>
      </c>
      <c r="P248" s="724">
        <v>-0.07016270279764526</v>
      </c>
    </row>
    <row r="249" spans="2:17" ht="18.75" customHeight="1">
      <c r="B249" s="664"/>
      <c r="C249" s="662"/>
      <c r="D249" s="662"/>
      <c r="E249" s="663"/>
      <c r="F249" s="663" t="s">
        <v>590</v>
      </c>
      <c r="G249" s="662"/>
      <c r="H249" s="724"/>
      <c r="I249" s="771"/>
      <c r="J249" s="665" t="s">
        <v>1099</v>
      </c>
      <c r="K249" s="662">
        <v>96977021</v>
      </c>
      <c r="L249" s="662">
        <v>68192334.131486</v>
      </c>
      <c r="M249" s="663">
        <v>0.04176367103560056</v>
      </c>
      <c r="N249" s="663">
        <v>0.7031803351794648</v>
      </c>
      <c r="O249" s="662">
        <v>-28784686.868514</v>
      </c>
      <c r="P249" s="724">
        <v>-0.2968196648205352</v>
      </c>
      <c r="Q249" s="698"/>
    </row>
    <row r="250" spans="2:17" ht="18.75" customHeight="1">
      <c r="B250" s="664" t="s">
        <v>1243</v>
      </c>
      <c r="C250" s="656">
        <v>161917250</v>
      </c>
      <c r="D250" s="656">
        <v>163599668.54999998</v>
      </c>
      <c r="E250" s="657">
        <v>0.09869307325146542</v>
      </c>
      <c r="F250" s="657">
        <v>1.0103906072391915</v>
      </c>
      <c r="G250" s="656">
        <v>1682418.5499999821</v>
      </c>
      <c r="H250" s="658">
        <v>0.010390607239191513</v>
      </c>
      <c r="I250" s="767"/>
      <c r="J250" s="665" t="s">
        <v>876</v>
      </c>
      <c r="K250" s="662">
        <v>25213313</v>
      </c>
      <c r="L250" s="662">
        <v>6871758.630000002</v>
      </c>
      <c r="M250" s="663">
        <v>0.0042085356149564514</v>
      </c>
      <c r="N250" s="663">
        <v>0.2725448508095704</v>
      </c>
      <c r="O250" s="662">
        <v>-18341554.369999997</v>
      </c>
      <c r="P250" s="724">
        <v>-0.7274551491904295</v>
      </c>
      <c r="Q250" s="698"/>
    </row>
    <row r="251" spans="2:17" ht="18.75" customHeight="1">
      <c r="B251" s="665" t="s">
        <v>1068</v>
      </c>
      <c r="C251" s="662">
        <v>44816383</v>
      </c>
      <c r="D251" s="662">
        <v>45259892.14</v>
      </c>
      <c r="E251" s="663">
        <v>0.02730346515929078</v>
      </c>
      <c r="F251" s="663">
        <v>1.0098961386509036</v>
      </c>
      <c r="G251" s="662">
        <v>443509.1400000006</v>
      </c>
      <c r="H251" s="724">
        <v>0.009896138650903635</v>
      </c>
      <c r="I251" s="771"/>
      <c r="J251" s="665"/>
      <c r="K251" s="662"/>
      <c r="L251" s="662"/>
      <c r="M251" s="663"/>
      <c r="N251" s="663"/>
      <c r="O251" s="662"/>
      <c r="P251" s="724"/>
      <c r="Q251" s="698"/>
    </row>
    <row r="252" spans="2:17" ht="18.75" customHeight="1">
      <c r="B252" s="665" t="s">
        <v>508</v>
      </c>
      <c r="C252" s="662">
        <v>12047414</v>
      </c>
      <c r="D252" s="662">
        <v>12172969.96</v>
      </c>
      <c r="E252" s="663">
        <v>0.007343461185454635</v>
      </c>
      <c r="F252" s="663">
        <v>1.010421818325493</v>
      </c>
      <c r="G252" s="662">
        <v>125555.9600000009</v>
      </c>
      <c r="H252" s="724">
        <v>0.010421818325492998</v>
      </c>
      <c r="I252" s="771"/>
      <c r="J252" s="665" t="s">
        <v>334</v>
      </c>
      <c r="K252" s="662">
        <v>1457229418</v>
      </c>
      <c r="L252" s="662">
        <v>1428243743.6885142</v>
      </c>
      <c r="M252" s="663">
        <v>0.8747127170489462</v>
      </c>
      <c r="N252" s="663">
        <v>0.9801090521825536</v>
      </c>
      <c r="O252" s="662">
        <v>-28985674.311485767</v>
      </c>
      <c r="P252" s="724">
        <v>-0.019890947817446387</v>
      </c>
      <c r="Q252" s="698"/>
    </row>
    <row r="253" spans="2:16" ht="18.75" customHeight="1">
      <c r="B253" s="665" t="s">
        <v>16</v>
      </c>
      <c r="C253" s="662">
        <v>62646556</v>
      </c>
      <c r="D253" s="662">
        <v>63274205.1</v>
      </c>
      <c r="E253" s="663">
        <v>0.03817077268071609</v>
      </c>
      <c r="F253" s="663">
        <v>1.0100188923394289</v>
      </c>
      <c r="G253" s="662">
        <v>627649.1000000015</v>
      </c>
      <c r="H253" s="724">
        <v>0.010018892339428867</v>
      </c>
      <c r="I253" s="771"/>
      <c r="J253" s="665"/>
      <c r="K253" s="662"/>
      <c r="L253" s="662"/>
      <c r="M253" s="663"/>
      <c r="N253" s="663"/>
      <c r="O253" s="662"/>
      <c r="P253" s="724"/>
    </row>
    <row r="254" spans="2:16" ht="18.75" customHeight="1">
      <c r="B254" s="665" t="s">
        <v>876</v>
      </c>
      <c r="C254" s="662">
        <v>13493102</v>
      </c>
      <c r="D254" s="662">
        <v>13643821.84</v>
      </c>
      <c r="E254" s="663">
        <v>0.00823076672599447</v>
      </c>
      <c r="F254" s="663">
        <v>1.0111701401204853</v>
      </c>
      <c r="G254" s="662">
        <v>150719.84</v>
      </c>
      <c r="H254" s="724">
        <v>0.011170140120485256</v>
      </c>
      <c r="I254" s="771"/>
      <c r="J254" s="665"/>
      <c r="K254" s="662"/>
      <c r="L254" s="662"/>
      <c r="M254" s="663"/>
      <c r="N254" s="663"/>
      <c r="O254" s="662"/>
      <c r="P254" s="724"/>
    </row>
    <row r="255" spans="2:16" ht="18.75" customHeight="1">
      <c r="B255" s="665" t="s">
        <v>877</v>
      </c>
      <c r="C255" s="662">
        <v>8192242</v>
      </c>
      <c r="D255" s="662">
        <v>8292762.79</v>
      </c>
      <c r="E255" s="663">
        <v>0.005002688897504474</v>
      </c>
      <c r="F255" s="663">
        <v>1.012270241772643</v>
      </c>
      <c r="G255" s="662">
        <v>100520.79</v>
      </c>
      <c r="H255" s="724">
        <v>0.01227024177264295</v>
      </c>
      <c r="I255" s="771"/>
      <c r="J255" s="665" t="s">
        <v>202</v>
      </c>
      <c r="K255" s="662">
        <v>45000000</v>
      </c>
      <c r="L255" s="662">
        <v>45000000</v>
      </c>
      <c r="M255" s="663">
        <v>0.027559772231557596</v>
      </c>
      <c r="N255" s="663">
        <v>1</v>
      </c>
      <c r="O255" s="662">
        <v>0</v>
      </c>
      <c r="P255" s="724">
        <v>0</v>
      </c>
    </row>
    <row r="256" spans="2:16" ht="18.75" customHeight="1">
      <c r="B256" s="665" t="s">
        <v>878</v>
      </c>
      <c r="C256" s="662">
        <v>8192242</v>
      </c>
      <c r="D256" s="662">
        <v>8292762.79</v>
      </c>
      <c r="E256" s="663">
        <v>0.005002688897504474</v>
      </c>
      <c r="F256" s="663">
        <v>1.012270241772643</v>
      </c>
      <c r="G256" s="662">
        <v>100520.79</v>
      </c>
      <c r="H256" s="724">
        <v>0.01227024177264295</v>
      </c>
      <c r="I256" s="771"/>
      <c r="J256" s="666"/>
      <c r="K256" s="662"/>
      <c r="L256" s="662"/>
      <c r="M256" s="663"/>
      <c r="N256" s="663"/>
      <c r="O256" s="662"/>
      <c r="P256" s="724"/>
    </row>
    <row r="257" spans="2:16" ht="18.75" customHeight="1">
      <c r="B257" s="665" t="s">
        <v>879</v>
      </c>
      <c r="C257" s="662">
        <v>1445690</v>
      </c>
      <c r="D257" s="662">
        <v>1470851.88</v>
      </c>
      <c r="E257" s="663">
        <v>0.0008873055405398353</v>
      </c>
      <c r="F257" s="663">
        <v>1.0174047548229563</v>
      </c>
      <c r="G257" s="662">
        <v>25161.87999999989</v>
      </c>
      <c r="H257" s="724">
        <v>0.017404754822956434</v>
      </c>
      <c r="I257" s="771"/>
      <c r="J257" s="665" t="s">
        <v>176</v>
      </c>
      <c r="K257" s="662">
        <v>14050</v>
      </c>
      <c r="L257" s="662">
        <v>4938.36</v>
      </c>
      <c r="M257" s="663">
        <v>3.024446151054106E-06</v>
      </c>
      <c r="N257" s="663">
        <v>0.35148469750889677</v>
      </c>
      <c r="O257" s="662">
        <v>-9111.64</v>
      </c>
      <c r="P257" s="724">
        <v>-0.6485153024911031</v>
      </c>
    </row>
    <row r="258" spans="2:16" ht="18.75" customHeight="1">
      <c r="B258" s="665" t="s">
        <v>175</v>
      </c>
      <c r="C258" s="662">
        <v>11083621</v>
      </c>
      <c r="D258" s="662">
        <v>11192402.05</v>
      </c>
      <c r="E258" s="663">
        <v>0.0067519241644606745</v>
      </c>
      <c r="F258" s="663">
        <v>1.0098145768427125</v>
      </c>
      <c r="G258" s="662">
        <v>108781.05000000075</v>
      </c>
      <c r="H258" s="724">
        <v>0.00981457684271239</v>
      </c>
      <c r="I258" s="771"/>
      <c r="J258" s="666"/>
      <c r="K258" s="662"/>
      <c r="L258" s="662"/>
      <c r="M258" s="663"/>
      <c r="N258" s="663"/>
      <c r="O258" s="662"/>
      <c r="P258" s="724"/>
    </row>
    <row r="259" spans="2:16" ht="18.75" customHeight="1">
      <c r="B259" s="665"/>
      <c r="C259" s="662"/>
      <c r="D259" s="662"/>
      <c r="E259" s="663"/>
      <c r="F259" s="663" t="s">
        <v>590</v>
      </c>
      <c r="G259" s="662"/>
      <c r="H259" s="724"/>
      <c r="I259" s="771"/>
      <c r="J259" s="666"/>
      <c r="K259" s="662"/>
      <c r="L259" s="662"/>
      <c r="M259" s="663"/>
      <c r="N259" s="663"/>
      <c r="O259" s="662"/>
      <c r="P259" s="724"/>
    </row>
    <row r="260" spans="2:16" ht="18.75" customHeight="1">
      <c r="B260" s="664" t="s">
        <v>634</v>
      </c>
      <c r="C260" s="656">
        <v>50</v>
      </c>
      <c r="D260" s="656">
        <v>242.1</v>
      </c>
      <c r="E260" s="657">
        <v>1.4604915306950836E-07</v>
      </c>
      <c r="F260" s="657">
        <v>4.842</v>
      </c>
      <c r="G260" s="656">
        <v>192.1</v>
      </c>
      <c r="H260" s="658">
        <v>3.842</v>
      </c>
      <c r="I260" s="767"/>
      <c r="J260" s="666"/>
      <c r="K260" s="662"/>
      <c r="L260" s="662"/>
      <c r="M260" s="663"/>
      <c r="N260" s="663"/>
      <c r="O260" s="662"/>
      <c r="P260" s="724"/>
    </row>
    <row r="261" spans="2:16" ht="18.75" customHeight="1">
      <c r="B261" s="666"/>
      <c r="C261" s="656"/>
      <c r="D261" s="662"/>
      <c r="E261" s="663"/>
      <c r="F261" s="663" t="s">
        <v>590</v>
      </c>
      <c r="G261" s="662"/>
      <c r="H261" s="724"/>
      <c r="I261" s="771"/>
      <c r="J261" s="666"/>
      <c r="K261" s="662"/>
      <c r="L261" s="662"/>
      <c r="M261" s="663"/>
      <c r="N261" s="663"/>
      <c r="O261" s="662"/>
      <c r="P261" s="724"/>
    </row>
    <row r="262" spans="2:16" ht="18.75" customHeight="1">
      <c r="B262" s="664" t="s">
        <v>635</v>
      </c>
      <c r="C262" s="656">
        <v>50</v>
      </c>
      <c r="D262" s="656">
        <v>191.49</v>
      </c>
      <c r="E262" s="657">
        <v>1.1551818389624187E-07</v>
      </c>
      <c r="F262" s="657">
        <v>3.8298</v>
      </c>
      <c r="G262" s="656">
        <v>141.49</v>
      </c>
      <c r="H262" s="658">
        <v>2.8298</v>
      </c>
      <c r="I262" s="767"/>
      <c r="J262" s="666"/>
      <c r="K262" s="662"/>
      <c r="L262" s="662"/>
      <c r="M262" s="663"/>
      <c r="N262" s="663"/>
      <c r="O262" s="662"/>
      <c r="P262" s="724"/>
    </row>
    <row r="263" spans="2:16" ht="17.25" customHeight="1">
      <c r="B263" s="666"/>
      <c r="C263" s="662"/>
      <c r="D263" s="662"/>
      <c r="E263" s="663"/>
      <c r="F263" s="663" t="s">
        <v>590</v>
      </c>
      <c r="G263" s="662"/>
      <c r="H263" s="724"/>
      <c r="I263" s="771"/>
      <c r="J263" s="666"/>
      <c r="K263" s="662"/>
      <c r="L263" s="662"/>
      <c r="M263" s="663"/>
      <c r="N263" s="663"/>
      <c r="O263" s="662"/>
      <c r="P263" s="724"/>
    </row>
    <row r="264" spans="2:16" ht="18.75" customHeight="1">
      <c r="B264" s="664" t="s">
        <v>1191</v>
      </c>
      <c r="C264" s="656">
        <v>584419</v>
      </c>
      <c r="D264" s="656">
        <v>0</v>
      </c>
      <c r="E264" s="657">
        <v>0</v>
      </c>
      <c r="F264" s="657">
        <v>0</v>
      </c>
      <c r="G264" s="656">
        <v>-584419</v>
      </c>
      <c r="H264" s="658">
        <v>-1</v>
      </c>
      <c r="I264" s="767"/>
      <c r="J264" s="664" t="s">
        <v>803</v>
      </c>
      <c r="K264" s="656">
        <v>90678</v>
      </c>
      <c r="L264" s="656">
        <v>39466.84</v>
      </c>
      <c r="M264" s="657">
        <v>2.4171047135540584E-05</v>
      </c>
      <c r="N264" s="657">
        <v>0.4352416242087385</v>
      </c>
      <c r="O264" s="656">
        <v>-51211.16</v>
      </c>
      <c r="P264" s="658">
        <v>-0.5647583757912615</v>
      </c>
    </row>
    <row r="265" spans="2:16" ht="18.75" customHeight="1">
      <c r="B265" s="664"/>
      <c r="C265" s="662"/>
      <c r="D265" s="662"/>
      <c r="E265" s="663"/>
      <c r="F265" s="663" t="s">
        <v>590</v>
      </c>
      <c r="G265" s="662"/>
      <c r="H265" s="724"/>
      <c r="I265" s="771"/>
      <c r="J265" s="664"/>
      <c r="K265" s="656"/>
      <c r="L265" s="656"/>
      <c r="M265" s="657"/>
      <c r="N265" s="657"/>
      <c r="O265" s="656"/>
      <c r="P265" s="658"/>
    </row>
    <row r="266" spans="2:16" ht="18.75" customHeight="1">
      <c r="B266" s="664" t="s">
        <v>1094</v>
      </c>
      <c r="C266" s="656">
        <v>806068</v>
      </c>
      <c r="D266" s="656">
        <v>2612148.33</v>
      </c>
      <c r="E266" s="657">
        <v>0.0015758035988782761</v>
      </c>
      <c r="F266" s="657">
        <v>3.2406054203863697</v>
      </c>
      <c r="G266" s="656">
        <v>1806080.33</v>
      </c>
      <c r="H266" s="658">
        <v>2.2406054203863697</v>
      </c>
      <c r="I266" s="767"/>
      <c r="J266" s="664"/>
      <c r="K266" s="656"/>
      <c r="L266" s="656"/>
      <c r="M266" s="657"/>
      <c r="N266" s="657"/>
      <c r="O266" s="656"/>
      <c r="P266" s="658"/>
    </row>
    <row r="267" spans="2:16" ht="18.75" customHeight="1">
      <c r="B267" s="664"/>
      <c r="C267" s="656"/>
      <c r="D267" s="656"/>
      <c r="E267" s="657"/>
      <c r="F267" s="657" t="s">
        <v>590</v>
      </c>
      <c r="G267" s="656"/>
      <c r="H267" s="658"/>
      <c r="I267" s="767"/>
      <c r="J267" s="664"/>
      <c r="K267" s="656"/>
      <c r="L267" s="656"/>
      <c r="M267" s="657"/>
      <c r="N267" s="657"/>
      <c r="O267" s="656"/>
      <c r="P267" s="658"/>
    </row>
    <row r="268" spans="2:16" ht="18.75" customHeight="1">
      <c r="B268" s="664" t="s">
        <v>1409</v>
      </c>
      <c r="C268" s="656">
        <v>10500</v>
      </c>
      <c r="D268" s="656">
        <v>36179.3</v>
      </c>
      <c r="E268" s="657">
        <v>2.1825510630514928E-05</v>
      </c>
      <c r="F268" s="657">
        <v>3.4456476190476195</v>
      </c>
      <c r="G268" s="656">
        <v>25679.3</v>
      </c>
      <c r="H268" s="658">
        <v>2.4456476190476195</v>
      </c>
      <c r="I268" s="767"/>
      <c r="J268" s="664"/>
      <c r="K268" s="656"/>
      <c r="L268" s="656"/>
      <c r="M268" s="657"/>
      <c r="N268" s="657"/>
      <c r="O268" s="656"/>
      <c r="P268" s="658"/>
    </row>
    <row r="269" spans="2:16" ht="18.75" customHeight="1">
      <c r="B269" s="661"/>
      <c r="C269" s="662"/>
      <c r="D269" s="662"/>
      <c r="E269" s="663"/>
      <c r="F269" s="663" t="s">
        <v>590</v>
      </c>
      <c r="G269" s="662"/>
      <c r="H269" s="724"/>
      <c r="I269" s="771"/>
      <c r="J269" s="664" t="s">
        <v>969</v>
      </c>
      <c r="K269" s="656">
        <v>29746977</v>
      </c>
      <c r="L269" s="656">
        <v>25344458.41</v>
      </c>
      <c r="M269" s="657">
        <v>0.015521944469150764</v>
      </c>
      <c r="N269" s="657">
        <v>0.8520011431749854</v>
      </c>
      <c r="O269" s="656">
        <v>-4402518.59</v>
      </c>
      <c r="P269" s="658">
        <v>-0.1479988568250145</v>
      </c>
    </row>
    <row r="270" spans="2:16" ht="18.75" customHeight="1">
      <c r="B270" s="664" t="s">
        <v>196</v>
      </c>
      <c r="C270" s="656">
        <v>14512422</v>
      </c>
      <c r="D270" s="656">
        <v>18485685.419999998</v>
      </c>
      <c r="E270" s="657">
        <v>0.011151667490707801</v>
      </c>
      <c r="F270" s="657">
        <v>1.2737836193021397</v>
      </c>
      <c r="G270" s="656">
        <v>3973263.42</v>
      </c>
      <c r="H270" s="658">
        <v>0.2737836193021398</v>
      </c>
      <c r="I270" s="767"/>
      <c r="J270" s="666"/>
      <c r="K270" s="662"/>
      <c r="L270" s="662"/>
      <c r="M270" s="663"/>
      <c r="N270" s="663"/>
      <c r="O270" s="662"/>
      <c r="P270" s="724"/>
    </row>
    <row r="271" spans="2:16" ht="18.75" customHeight="1">
      <c r="B271" s="664"/>
      <c r="C271" s="656"/>
      <c r="D271" s="656"/>
      <c r="E271" s="663"/>
      <c r="F271" s="657" t="s">
        <v>590</v>
      </c>
      <c r="G271" s="656"/>
      <c r="H271" s="658"/>
      <c r="I271" s="767"/>
      <c r="J271" s="666"/>
      <c r="K271" s="662"/>
      <c r="L271" s="662"/>
      <c r="M271" s="663"/>
      <c r="N271" s="663"/>
      <c r="O271" s="662"/>
      <c r="P271" s="724"/>
    </row>
    <row r="272" spans="2:16" ht="18.75" customHeight="1">
      <c r="B272" s="664" t="s">
        <v>142</v>
      </c>
      <c r="C272" s="656">
        <v>3737076</v>
      </c>
      <c r="D272" s="656">
        <v>5006369.89</v>
      </c>
      <c r="E272" s="657">
        <v>0.003020140778137908</v>
      </c>
      <c r="F272" s="657">
        <v>1.339648936762324</v>
      </c>
      <c r="G272" s="656">
        <v>1269293.89</v>
      </c>
      <c r="H272" s="658">
        <v>0.339648936762324</v>
      </c>
      <c r="I272" s="767"/>
      <c r="J272" s="666"/>
      <c r="K272" s="662"/>
      <c r="L272" s="662"/>
      <c r="M272" s="663"/>
      <c r="N272" s="663"/>
      <c r="O272" s="662"/>
      <c r="P272" s="724"/>
    </row>
    <row r="273" spans="2:16" ht="18.75" customHeight="1">
      <c r="B273" s="664"/>
      <c r="C273" s="662"/>
      <c r="D273" s="662"/>
      <c r="E273" s="663"/>
      <c r="F273" s="663" t="s">
        <v>590</v>
      </c>
      <c r="G273" s="662"/>
      <c r="H273" s="724"/>
      <c r="I273" s="771"/>
      <c r="J273" s="664" t="s">
        <v>1263</v>
      </c>
      <c r="K273" s="656">
        <v>0</v>
      </c>
      <c r="L273" s="656">
        <v>0</v>
      </c>
      <c r="M273" s="657">
        <v>0</v>
      </c>
      <c r="N273" s="663"/>
      <c r="O273" s="656">
        <v>0</v>
      </c>
      <c r="P273" s="724"/>
    </row>
    <row r="274" spans="2:16" ht="18.75" customHeight="1">
      <c r="B274" s="757" t="s">
        <v>47</v>
      </c>
      <c r="C274" s="656">
        <v>0</v>
      </c>
      <c r="D274" s="656">
        <v>0</v>
      </c>
      <c r="E274" s="657">
        <v>0</v>
      </c>
      <c r="F274" s="657"/>
      <c r="G274" s="656">
        <v>0</v>
      </c>
      <c r="H274" s="658"/>
      <c r="I274" s="767"/>
      <c r="J274" s="661"/>
      <c r="K274" s="670"/>
      <c r="L274" s="670"/>
      <c r="M274" s="663"/>
      <c r="N274" s="663"/>
      <c r="O274" s="670">
        <v>0</v>
      </c>
      <c r="P274" s="724"/>
    </row>
    <row r="275" spans="2:16" ht="18.75" customHeight="1">
      <c r="B275" s="757"/>
      <c r="C275" s="662"/>
      <c r="D275" s="662"/>
      <c r="E275" s="663"/>
      <c r="F275" s="663" t="s">
        <v>590</v>
      </c>
      <c r="G275" s="662"/>
      <c r="H275" s="724"/>
      <c r="I275" s="771"/>
      <c r="J275" s="661"/>
      <c r="K275" s="662"/>
      <c r="L275" s="662"/>
      <c r="M275" s="663"/>
      <c r="N275" s="663"/>
      <c r="O275" s="662">
        <v>0</v>
      </c>
      <c r="P275" s="724"/>
    </row>
    <row r="276" spans="2:16" ht="18.75" customHeight="1">
      <c r="B276" s="664" t="s">
        <v>1255</v>
      </c>
      <c r="C276" s="656">
        <v>0</v>
      </c>
      <c r="D276" s="656">
        <v>0</v>
      </c>
      <c r="E276" s="657">
        <v>0</v>
      </c>
      <c r="F276" s="657"/>
      <c r="G276" s="656">
        <v>0</v>
      </c>
      <c r="H276" s="658"/>
      <c r="I276" s="767"/>
      <c r="J276" s="664" t="s">
        <v>1255</v>
      </c>
      <c r="K276" s="656">
        <v>0</v>
      </c>
      <c r="L276" s="656">
        <v>0</v>
      </c>
      <c r="M276" s="657">
        <v>0</v>
      </c>
      <c r="N276" s="657"/>
      <c r="O276" s="656">
        <v>0</v>
      </c>
      <c r="P276" s="658"/>
    </row>
    <row r="277" spans="2:16" ht="18.75" customHeight="1">
      <c r="B277" s="664"/>
      <c r="C277" s="656"/>
      <c r="D277" s="656"/>
      <c r="E277" s="663"/>
      <c r="F277" s="657" t="s">
        <v>590</v>
      </c>
      <c r="G277" s="656"/>
      <c r="H277" s="658"/>
      <c r="I277" s="767"/>
      <c r="J277" s="664"/>
      <c r="K277" s="656"/>
      <c r="L277" s="656"/>
      <c r="M277" s="657"/>
      <c r="N277" s="657"/>
      <c r="O277" s="656"/>
      <c r="P277" s="658"/>
    </row>
    <row r="278" spans="2:16" ht="18.75" customHeight="1">
      <c r="B278" s="664"/>
      <c r="C278" s="656"/>
      <c r="D278" s="656"/>
      <c r="E278" s="663"/>
      <c r="F278" s="657" t="s">
        <v>590</v>
      </c>
      <c r="G278" s="656"/>
      <c r="H278" s="658"/>
      <c r="I278" s="767"/>
      <c r="J278" s="755"/>
      <c r="K278" s="662"/>
      <c r="L278" s="662"/>
      <c r="M278" s="663"/>
      <c r="N278" s="663"/>
      <c r="O278" s="662"/>
      <c r="P278" s="724"/>
    </row>
    <row r="279" spans="2:16" ht="18.75" customHeight="1">
      <c r="B279" s="655" t="s">
        <v>848</v>
      </c>
      <c r="C279" s="656">
        <v>7440161</v>
      </c>
      <c r="D279" s="656">
        <v>2789609.76</v>
      </c>
      <c r="E279" s="657">
        <v>0.0016828589130212079</v>
      </c>
      <c r="F279" s="657">
        <v>0.3749394347783603</v>
      </c>
      <c r="G279" s="656">
        <v>-4650551.24</v>
      </c>
      <c r="H279" s="658">
        <v>-0.6250605652216398</v>
      </c>
      <c r="I279" s="767"/>
      <c r="J279" s="655" t="s">
        <v>848</v>
      </c>
      <c r="K279" s="656">
        <v>12140449</v>
      </c>
      <c r="L279" s="656">
        <v>7339248.050000001</v>
      </c>
      <c r="M279" s="657">
        <v>0.004494844546864517</v>
      </c>
      <c r="N279" s="657">
        <v>0.604528551621114</v>
      </c>
      <c r="O279" s="656">
        <v>-4801200.95</v>
      </c>
      <c r="P279" s="658">
        <v>-0.3954714483788861</v>
      </c>
    </row>
    <row r="280" spans="2:16" ht="18.75" customHeight="1">
      <c r="B280" s="655"/>
      <c r="C280" s="656"/>
      <c r="D280" s="656"/>
      <c r="E280" s="663"/>
      <c r="F280" s="657" t="s">
        <v>590</v>
      </c>
      <c r="G280" s="656"/>
      <c r="H280" s="658"/>
      <c r="I280" s="767"/>
      <c r="J280" s="655"/>
      <c r="K280" s="656"/>
      <c r="L280" s="656"/>
      <c r="M280" s="657"/>
      <c r="N280" s="657"/>
      <c r="O280" s="656"/>
      <c r="P280" s="658"/>
    </row>
    <row r="281" spans="2:16" ht="18.75" customHeight="1">
      <c r="B281" s="664" t="s">
        <v>1551</v>
      </c>
      <c r="C281" s="656">
        <v>7335936</v>
      </c>
      <c r="D281" s="656">
        <v>2702294.78</v>
      </c>
      <c r="E281" s="657">
        <v>0.0016301853117024097</v>
      </c>
      <c r="F281" s="657">
        <v>0.3683640069924274</v>
      </c>
      <c r="G281" s="656">
        <v>-4633641.22</v>
      </c>
      <c r="H281" s="658">
        <v>-0.6316359930075727</v>
      </c>
      <c r="I281" s="767"/>
      <c r="J281" s="664" t="s">
        <v>1551</v>
      </c>
      <c r="K281" s="656">
        <v>6054629</v>
      </c>
      <c r="L281" s="656">
        <v>2357286.07</v>
      </c>
      <c r="M281" s="657">
        <v>0.0014436948260849677</v>
      </c>
      <c r="N281" s="657">
        <v>0.38933617072160825</v>
      </c>
      <c r="O281" s="656">
        <v>-3697342.93</v>
      </c>
      <c r="P281" s="658">
        <v>-0.6106638292783917</v>
      </c>
    </row>
    <row r="282" spans="2:16" ht="18.75" customHeight="1">
      <c r="B282" s="665" t="s">
        <v>1043</v>
      </c>
      <c r="C282" s="656">
        <v>7335936</v>
      </c>
      <c r="D282" s="656">
        <v>2702294.78</v>
      </c>
      <c r="E282" s="657">
        <v>0.0016301853117024097</v>
      </c>
      <c r="F282" s="657">
        <v>0.3683640069924274</v>
      </c>
      <c r="G282" s="656">
        <v>-4633641.22</v>
      </c>
      <c r="H282" s="658">
        <v>-0.6316359930075727</v>
      </c>
      <c r="I282" s="767"/>
      <c r="J282" s="665" t="s">
        <v>1043</v>
      </c>
      <c r="K282" s="656">
        <v>6054629</v>
      </c>
      <c r="L282" s="656">
        <v>2357286.07</v>
      </c>
      <c r="M282" s="657">
        <v>0.0014436948260849677</v>
      </c>
      <c r="N282" s="657">
        <v>0.38933617072160825</v>
      </c>
      <c r="O282" s="656">
        <v>-3697342.93</v>
      </c>
      <c r="P282" s="658">
        <v>-0.6106638292783917</v>
      </c>
    </row>
    <row r="283" spans="2:16" ht="18.75" customHeight="1">
      <c r="B283" s="758" t="s">
        <v>1410</v>
      </c>
      <c r="C283" s="656">
        <v>7335936</v>
      </c>
      <c r="D283" s="656">
        <v>2702294.78</v>
      </c>
      <c r="E283" s="657">
        <v>0.0016301853117024097</v>
      </c>
      <c r="F283" s="657">
        <v>0.3683640069924274</v>
      </c>
      <c r="G283" s="656">
        <v>-4633641.22</v>
      </c>
      <c r="H283" s="658">
        <v>-0.6316359930075727</v>
      </c>
      <c r="I283" s="767"/>
      <c r="J283" s="758" t="s">
        <v>1410</v>
      </c>
      <c r="K283" s="656">
        <v>6054629</v>
      </c>
      <c r="L283" s="656">
        <v>2357286.07</v>
      </c>
      <c r="M283" s="657">
        <v>0.0014436948260849677</v>
      </c>
      <c r="N283" s="657">
        <v>0.38933617072160825</v>
      </c>
      <c r="O283" s="656">
        <v>-3697342.93</v>
      </c>
      <c r="P283" s="658">
        <v>-0.6106638292783917</v>
      </c>
    </row>
    <row r="284" spans="2:16" ht="18.75" customHeight="1">
      <c r="B284" s="759" t="s">
        <v>1311</v>
      </c>
      <c r="C284" s="662">
        <v>0</v>
      </c>
      <c r="D284" s="662">
        <v>0</v>
      </c>
      <c r="E284" s="663">
        <v>0</v>
      </c>
      <c r="F284" s="663"/>
      <c r="G284" s="662">
        <v>0</v>
      </c>
      <c r="H284" s="724"/>
      <c r="I284" s="771"/>
      <c r="J284" s="881" t="s">
        <v>1311</v>
      </c>
      <c r="K284" s="662">
        <v>0</v>
      </c>
      <c r="L284" s="662">
        <v>0</v>
      </c>
      <c r="M284" s="663">
        <v>0</v>
      </c>
      <c r="N284" s="663"/>
      <c r="O284" s="662">
        <v>0</v>
      </c>
      <c r="P284" s="724"/>
    </row>
    <row r="285" spans="2:16" ht="18.75" customHeight="1">
      <c r="B285" s="759" t="s">
        <v>885</v>
      </c>
      <c r="C285" s="662">
        <v>0</v>
      </c>
      <c r="D285" s="662">
        <v>0</v>
      </c>
      <c r="E285" s="663">
        <v>0</v>
      </c>
      <c r="F285" s="663"/>
      <c r="G285" s="662">
        <v>0</v>
      </c>
      <c r="H285" s="724"/>
      <c r="I285" s="771"/>
      <c r="J285" s="881" t="s">
        <v>959</v>
      </c>
      <c r="K285" s="662">
        <v>0</v>
      </c>
      <c r="L285" s="662">
        <v>0</v>
      </c>
      <c r="M285" s="663">
        <v>0</v>
      </c>
      <c r="N285" s="663"/>
      <c r="O285" s="662">
        <v>0</v>
      </c>
      <c r="P285" s="724" t="e">
        <v>#DIV/0!</v>
      </c>
    </row>
    <row r="286" spans="2:16" ht="18.75" customHeight="1">
      <c r="B286" s="759" t="s">
        <v>614</v>
      </c>
      <c r="C286" s="662">
        <v>0</v>
      </c>
      <c r="D286" s="662">
        <v>0</v>
      </c>
      <c r="E286" s="663">
        <v>0</v>
      </c>
      <c r="F286" s="663"/>
      <c r="G286" s="662">
        <v>0</v>
      </c>
      <c r="H286" s="724"/>
      <c r="I286" s="771"/>
      <c r="J286" s="881" t="s">
        <v>261</v>
      </c>
      <c r="K286" s="662">
        <v>0</v>
      </c>
      <c r="L286" s="662">
        <v>0</v>
      </c>
      <c r="M286" s="663">
        <v>0</v>
      </c>
      <c r="N286" s="663"/>
      <c r="O286" s="662">
        <v>0</v>
      </c>
      <c r="P286" s="724"/>
    </row>
    <row r="287" spans="2:16" ht="18.75" customHeight="1">
      <c r="B287" s="759" t="s">
        <v>572</v>
      </c>
      <c r="C287" s="662">
        <v>7335936</v>
      </c>
      <c r="D287" s="662">
        <v>2702294.78</v>
      </c>
      <c r="E287" s="663">
        <v>0.0016301853117024097</v>
      </c>
      <c r="F287" s="663">
        <v>0.3683640069924274</v>
      </c>
      <c r="G287" s="662">
        <v>-4633641.22</v>
      </c>
      <c r="H287" s="724">
        <v>-0.6316359930075727</v>
      </c>
      <c r="I287" s="771"/>
      <c r="J287" s="881" t="s">
        <v>572</v>
      </c>
      <c r="K287" s="662">
        <v>6054629</v>
      </c>
      <c r="L287" s="662">
        <v>2357286.07</v>
      </c>
      <c r="M287" s="663">
        <v>0.0014436948260849677</v>
      </c>
      <c r="N287" s="663">
        <v>0.38933617072160825</v>
      </c>
      <c r="O287" s="662">
        <v>-3697342.93</v>
      </c>
      <c r="P287" s="724">
        <v>-0.6106638292783917</v>
      </c>
    </row>
    <row r="288" spans="2:16" ht="18.75" customHeight="1">
      <c r="B288" s="759" t="s">
        <v>152</v>
      </c>
      <c r="C288" s="662">
        <v>0</v>
      </c>
      <c r="D288" s="760">
        <v>0</v>
      </c>
      <c r="E288" s="663">
        <v>0</v>
      </c>
      <c r="F288" s="663"/>
      <c r="G288" s="662">
        <v>0</v>
      </c>
      <c r="H288" s="724"/>
      <c r="I288" s="771"/>
      <c r="J288" s="881" t="s">
        <v>152</v>
      </c>
      <c r="K288" s="662">
        <v>0</v>
      </c>
      <c r="L288" s="662">
        <v>0</v>
      </c>
      <c r="M288" s="663">
        <v>0</v>
      </c>
      <c r="N288" s="663"/>
      <c r="O288" s="662">
        <v>0</v>
      </c>
      <c r="P288" s="724"/>
    </row>
    <row r="289" spans="2:16" ht="18.75" customHeight="1">
      <c r="B289" s="758" t="s">
        <v>621</v>
      </c>
      <c r="C289" s="656">
        <v>0</v>
      </c>
      <c r="D289" s="656">
        <v>0</v>
      </c>
      <c r="E289" s="657">
        <v>0</v>
      </c>
      <c r="F289" s="657"/>
      <c r="G289" s="656">
        <v>0</v>
      </c>
      <c r="H289" s="658"/>
      <c r="I289" s="767"/>
      <c r="J289" s="758" t="s">
        <v>621</v>
      </c>
      <c r="K289" s="656">
        <v>0</v>
      </c>
      <c r="L289" s="656">
        <v>0</v>
      </c>
      <c r="M289" s="657">
        <v>0</v>
      </c>
      <c r="N289" s="657"/>
      <c r="O289" s="656">
        <v>0</v>
      </c>
      <c r="P289" s="658"/>
    </row>
    <row r="290" spans="2:16" ht="18.75" customHeight="1">
      <c r="B290" s="759" t="s">
        <v>885</v>
      </c>
      <c r="C290" s="662">
        <v>0</v>
      </c>
      <c r="D290" s="662">
        <v>0</v>
      </c>
      <c r="E290" s="663">
        <v>0</v>
      </c>
      <c r="F290" s="663"/>
      <c r="G290" s="662">
        <v>0</v>
      </c>
      <c r="H290" s="724"/>
      <c r="I290" s="771"/>
      <c r="J290" s="881" t="s">
        <v>885</v>
      </c>
      <c r="K290" s="662">
        <v>0</v>
      </c>
      <c r="L290" s="662">
        <v>0</v>
      </c>
      <c r="M290" s="663">
        <v>0</v>
      </c>
      <c r="N290" s="663"/>
      <c r="O290" s="662">
        <v>0</v>
      </c>
      <c r="P290" s="724"/>
    </row>
    <row r="291" spans="2:16" ht="18.75" customHeight="1">
      <c r="B291" s="759" t="s">
        <v>1560</v>
      </c>
      <c r="C291" s="662">
        <v>0</v>
      </c>
      <c r="D291" s="662">
        <v>0</v>
      </c>
      <c r="E291" s="663">
        <v>0</v>
      </c>
      <c r="F291" s="663"/>
      <c r="G291" s="662">
        <v>0</v>
      </c>
      <c r="H291" s="724"/>
      <c r="I291" s="771"/>
      <c r="J291" s="881" t="s">
        <v>1560</v>
      </c>
      <c r="K291" s="662">
        <v>0</v>
      </c>
      <c r="L291" s="662">
        <v>0</v>
      </c>
      <c r="M291" s="663">
        <v>0</v>
      </c>
      <c r="N291" s="663"/>
      <c r="O291" s="662">
        <v>0</v>
      </c>
      <c r="P291" s="724"/>
    </row>
    <row r="292" spans="2:16" ht="18.75" customHeight="1">
      <c r="B292" s="758" t="s">
        <v>151</v>
      </c>
      <c r="C292" s="656">
        <v>0</v>
      </c>
      <c r="D292" s="656">
        <v>0</v>
      </c>
      <c r="E292" s="657">
        <v>0</v>
      </c>
      <c r="F292" s="657"/>
      <c r="G292" s="656">
        <v>0</v>
      </c>
      <c r="H292" s="658"/>
      <c r="I292" s="767"/>
      <c r="J292" s="758" t="s">
        <v>151</v>
      </c>
      <c r="K292" s="656">
        <v>0</v>
      </c>
      <c r="L292" s="656">
        <v>0</v>
      </c>
      <c r="M292" s="657">
        <v>0</v>
      </c>
      <c r="N292" s="657"/>
      <c r="O292" s="656">
        <v>0</v>
      </c>
      <c r="P292" s="658"/>
    </row>
    <row r="293" spans="2:16" ht="18.75" customHeight="1">
      <c r="B293" s="759" t="s">
        <v>152</v>
      </c>
      <c r="C293" s="662">
        <v>0</v>
      </c>
      <c r="D293" s="760">
        <v>0</v>
      </c>
      <c r="E293" s="663">
        <v>0</v>
      </c>
      <c r="F293" s="663"/>
      <c r="G293" s="662">
        <v>0</v>
      </c>
      <c r="H293" s="724"/>
      <c r="I293" s="771"/>
      <c r="J293" s="881" t="s">
        <v>152</v>
      </c>
      <c r="K293" s="662">
        <v>0</v>
      </c>
      <c r="L293" s="662">
        <v>0</v>
      </c>
      <c r="M293" s="663">
        <v>0</v>
      </c>
      <c r="N293" s="663"/>
      <c r="O293" s="662">
        <v>0</v>
      </c>
      <c r="P293" s="724"/>
    </row>
    <row r="294" spans="2:16" ht="18.75" customHeight="1">
      <c r="B294" s="666"/>
      <c r="C294" s="662"/>
      <c r="D294" s="662"/>
      <c r="E294" s="663"/>
      <c r="F294" s="663" t="s">
        <v>590</v>
      </c>
      <c r="G294" s="662"/>
      <c r="H294" s="724"/>
      <c r="I294" s="771"/>
      <c r="J294" s="881"/>
      <c r="K294" s="662"/>
      <c r="L294" s="662"/>
      <c r="M294" s="663"/>
      <c r="N294" s="663"/>
      <c r="O294" s="662"/>
      <c r="P294" s="724"/>
    </row>
    <row r="295" spans="2:16" ht="18.75" customHeight="1">
      <c r="B295" s="666"/>
      <c r="C295" s="656"/>
      <c r="D295" s="656"/>
      <c r="E295" s="663"/>
      <c r="F295" s="657" t="s">
        <v>590</v>
      </c>
      <c r="G295" s="656"/>
      <c r="H295" s="658"/>
      <c r="I295" s="767"/>
      <c r="J295" s="666"/>
      <c r="K295" s="656"/>
      <c r="L295" s="656"/>
      <c r="M295" s="657"/>
      <c r="N295" s="657"/>
      <c r="O295" s="656"/>
      <c r="P295" s="658"/>
    </row>
    <row r="296" spans="2:16" ht="18.75" customHeight="1">
      <c r="B296" s="666"/>
      <c r="C296" s="656"/>
      <c r="D296" s="656"/>
      <c r="E296" s="663"/>
      <c r="F296" s="657" t="s">
        <v>590</v>
      </c>
      <c r="G296" s="656"/>
      <c r="H296" s="658"/>
      <c r="I296" s="767"/>
      <c r="J296" s="664" t="s">
        <v>1042</v>
      </c>
      <c r="K296" s="656">
        <v>5931307</v>
      </c>
      <c r="L296" s="656">
        <v>4835866.58</v>
      </c>
      <c r="M296" s="657">
        <v>0.0029616751441555868</v>
      </c>
      <c r="N296" s="657">
        <v>0.8153121360941189</v>
      </c>
      <c r="O296" s="656">
        <v>-1095440.42</v>
      </c>
      <c r="P296" s="658">
        <v>-0.1846878639058811</v>
      </c>
    </row>
    <row r="297" spans="2:16" ht="18.75" customHeight="1">
      <c r="B297" s="664" t="s">
        <v>377</v>
      </c>
      <c r="C297" s="656">
        <v>0</v>
      </c>
      <c r="D297" s="656">
        <v>0</v>
      </c>
      <c r="E297" s="663">
        <v>0</v>
      </c>
      <c r="F297" s="657"/>
      <c r="G297" s="656">
        <v>0</v>
      </c>
      <c r="H297" s="658"/>
      <c r="I297" s="767"/>
      <c r="J297" s="665" t="s">
        <v>609</v>
      </c>
      <c r="K297" s="656">
        <v>1281307</v>
      </c>
      <c r="L297" s="656">
        <v>253624.53</v>
      </c>
      <c r="M297" s="657">
        <v>0.00015532965064746326</v>
      </c>
      <c r="N297" s="657">
        <v>0.19794204667577717</v>
      </c>
      <c r="O297" s="656">
        <v>-1027682.47</v>
      </c>
      <c r="P297" s="658">
        <v>-0.8020579533242228</v>
      </c>
    </row>
    <row r="298" spans="2:16" ht="18.75" customHeight="1">
      <c r="B298" s="664"/>
      <c r="C298" s="656"/>
      <c r="D298" s="656"/>
      <c r="E298" s="663"/>
      <c r="F298" s="657" t="s">
        <v>590</v>
      </c>
      <c r="G298" s="656"/>
      <c r="H298" s="658"/>
      <c r="I298" s="767"/>
      <c r="J298" s="758" t="s">
        <v>85</v>
      </c>
      <c r="K298" s="662">
        <v>1281307</v>
      </c>
      <c r="L298" s="662">
        <v>253624.53</v>
      </c>
      <c r="M298" s="663">
        <v>0.00015532965064746326</v>
      </c>
      <c r="N298" s="663">
        <v>0.19794204667577717</v>
      </c>
      <c r="O298" s="662">
        <v>-1027682.47</v>
      </c>
      <c r="P298" s="724">
        <v>-0.8020579533242228</v>
      </c>
    </row>
    <row r="299" spans="2:16" ht="18.75" customHeight="1">
      <c r="B299" s="664" t="s">
        <v>308</v>
      </c>
      <c r="C299" s="656">
        <v>110</v>
      </c>
      <c r="D299" s="656">
        <v>0</v>
      </c>
      <c r="E299" s="663">
        <v>0</v>
      </c>
      <c r="F299" s="657">
        <v>0</v>
      </c>
      <c r="G299" s="656">
        <v>-110</v>
      </c>
      <c r="H299" s="658">
        <v>-1</v>
      </c>
      <c r="I299" s="767"/>
      <c r="J299" s="758" t="s">
        <v>1307</v>
      </c>
      <c r="K299" s="662">
        <v>0</v>
      </c>
      <c r="L299" s="662">
        <v>0</v>
      </c>
      <c r="M299" s="663">
        <v>0</v>
      </c>
      <c r="N299" s="663"/>
      <c r="O299" s="662">
        <v>0</v>
      </c>
      <c r="P299" s="724"/>
    </row>
    <row r="300" spans="2:16" ht="18.75" customHeight="1">
      <c r="B300" s="664"/>
      <c r="C300" s="656"/>
      <c r="D300" s="656"/>
      <c r="E300" s="663"/>
      <c r="F300" s="657" t="s">
        <v>590</v>
      </c>
      <c r="G300" s="656"/>
      <c r="H300" s="658"/>
      <c r="I300" s="767"/>
      <c r="J300" s="758" t="s">
        <v>86</v>
      </c>
      <c r="K300" s="662">
        <v>0</v>
      </c>
      <c r="L300" s="662">
        <v>0</v>
      </c>
      <c r="M300" s="663">
        <v>0</v>
      </c>
      <c r="N300" s="663"/>
      <c r="O300" s="662">
        <v>0</v>
      </c>
      <c r="P300" s="724"/>
    </row>
    <row r="301" spans="2:16" ht="18.75" customHeight="1">
      <c r="B301" s="757" t="s">
        <v>1309</v>
      </c>
      <c r="C301" s="656">
        <v>104115</v>
      </c>
      <c r="D301" s="761">
        <v>87314.98</v>
      </c>
      <c r="E301" s="663">
        <v>5.2673601318798264E-05</v>
      </c>
      <c r="F301" s="762">
        <v>0.8386397733275704</v>
      </c>
      <c r="G301" s="761">
        <v>-16800.02</v>
      </c>
      <c r="H301" s="763">
        <v>-0.16136022667242955</v>
      </c>
      <c r="I301" s="855"/>
      <c r="J301" s="666"/>
      <c r="K301" s="662"/>
      <c r="L301" s="662"/>
      <c r="M301" s="663"/>
      <c r="N301" s="663"/>
      <c r="O301" s="662"/>
      <c r="P301" s="724"/>
    </row>
    <row r="302" spans="2:16" ht="18.75" customHeight="1">
      <c r="B302" s="755"/>
      <c r="C302" s="662"/>
      <c r="D302" s="662"/>
      <c r="E302" s="663"/>
      <c r="F302" s="663" t="s">
        <v>590</v>
      </c>
      <c r="G302" s="662"/>
      <c r="H302" s="724"/>
      <c r="I302" s="771"/>
      <c r="J302" s="878" t="s">
        <v>208</v>
      </c>
      <c r="K302" s="656">
        <v>4650000</v>
      </c>
      <c r="L302" s="656">
        <v>4582242.05</v>
      </c>
      <c r="M302" s="657">
        <v>0.0028063454935081233</v>
      </c>
      <c r="N302" s="657">
        <v>0.9854283978494623</v>
      </c>
      <c r="O302" s="656">
        <v>-67757.95000000019</v>
      </c>
      <c r="P302" s="658">
        <v>-0.014571602150537674</v>
      </c>
    </row>
    <row r="303" spans="2:16" ht="18.75" customHeight="1">
      <c r="B303" s="755"/>
      <c r="C303" s="662"/>
      <c r="D303" s="662"/>
      <c r="E303" s="663"/>
      <c r="F303" s="663" t="s">
        <v>590</v>
      </c>
      <c r="G303" s="662"/>
      <c r="H303" s="724"/>
      <c r="I303" s="771"/>
      <c r="J303" s="666"/>
      <c r="K303" s="662"/>
      <c r="L303" s="662"/>
      <c r="M303" s="663"/>
      <c r="N303" s="663"/>
      <c r="O303" s="662"/>
      <c r="P303" s="724"/>
    </row>
    <row r="304" spans="2:16" ht="18.75" customHeight="1">
      <c r="B304" s="661"/>
      <c r="C304" s="670"/>
      <c r="D304" s="670"/>
      <c r="E304" s="663"/>
      <c r="F304" s="663" t="s">
        <v>590</v>
      </c>
      <c r="G304" s="670"/>
      <c r="H304" s="724"/>
      <c r="I304" s="771"/>
      <c r="J304" s="664" t="s">
        <v>1077</v>
      </c>
      <c r="K304" s="656">
        <v>154513</v>
      </c>
      <c r="L304" s="761">
        <v>146095.4</v>
      </c>
      <c r="M304" s="762">
        <v>8.94745766239622E-05</v>
      </c>
      <c r="N304" s="762">
        <v>0.9455217360351555</v>
      </c>
      <c r="O304" s="761">
        <v>-8417.600000000006</v>
      </c>
      <c r="P304" s="763">
        <v>-0.05447826396484442</v>
      </c>
    </row>
    <row r="305" spans="2:16" ht="18.75" customHeight="1">
      <c r="B305" s="661"/>
      <c r="C305" s="670"/>
      <c r="D305" s="670"/>
      <c r="E305" s="663"/>
      <c r="F305" s="663" t="s">
        <v>590</v>
      </c>
      <c r="G305" s="670"/>
      <c r="H305" s="724"/>
      <c r="I305" s="771"/>
      <c r="J305" s="661"/>
      <c r="K305" s="662"/>
      <c r="L305" s="662"/>
      <c r="M305" s="663"/>
      <c r="N305" s="663"/>
      <c r="O305" s="662"/>
      <c r="P305" s="724"/>
    </row>
    <row r="306" spans="2:16" ht="18.75" customHeight="1">
      <c r="B306" s="661"/>
      <c r="C306" s="670"/>
      <c r="D306" s="670"/>
      <c r="E306" s="663"/>
      <c r="F306" s="663" t="s">
        <v>590</v>
      </c>
      <c r="G306" s="670"/>
      <c r="H306" s="724"/>
      <c r="I306" s="771"/>
      <c r="J306" s="664" t="s">
        <v>1518</v>
      </c>
      <c r="K306" s="656">
        <v>0</v>
      </c>
      <c r="L306" s="656">
        <v>0</v>
      </c>
      <c r="M306" s="657">
        <v>0</v>
      </c>
      <c r="N306" s="657"/>
      <c r="O306" s="656">
        <v>0</v>
      </c>
      <c r="P306" s="658"/>
    </row>
    <row r="307" spans="2:16" ht="18.75" customHeight="1">
      <c r="B307" s="661"/>
      <c r="C307" s="670"/>
      <c r="D307" s="670"/>
      <c r="E307" s="663"/>
      <c r="F307" s="663" t="s">
        <v>590</v>
      </c>
      <c r="G307" s="670"/>
      <c r="H307" s="724"/>
      <c r="I307" s="771"/>
      <c r="J307" s="664"/>
      <c r="K307" s="662"/>
      <c r="L307" s="662"/>
      <c r="M307" s="663"/>
      <c r="N307" s="663"/>
      <c r="O307" s="662"/>
      <c r="P307" s="724"/>
    </row>
    <row r="308" spans="2:16" ht="18.75" customHeight="1">
      <c r="B308" s="661"/>
      <c r="C308" s="670"/>
      <c r="D308" s="670"/>
      <c r="E308" s="663"/>
      <c r="F308" s="663" t="s">
        <v>590</v>
      </c>
      <c r="G308" s="670"/>
      <c r="H308" s="724"/>
      <c r="I308" s="771"/>
      <c r="J308" s="664" t="s">
        <v>775</v>
      </c>
      <c r="K308" s="656"/>
      <c r="L308" s="656"/>
      <c r="M308" s="657">
        <v>0</v>
      </c>
      <c r="N308" s="657" t="e">
        <v>#DIV/0!</v>
      </c>
      <c r="O308" s="656">
        <v>0</v>
      </c>
      <c r="P308" s="658"/>
    </row>
    <row r="309" spans="2:16" ht="18.75" customHeight="1">
      <c r="B309" s="661"/>
      <c r="C309" s="670"/>
      <c r="D309" s="670"/>
      <c r="E309" s="663"/>
      <c r="F309" s="663" t="s">
        <v>590</v>
      </c>
      <c r="G309" s="670"/>
      <c r="H309" s="724"/>
      <c r="I309" s="771"/>
      <c r="J309" s="664"/>
      <c r="K309" s="662"/>
      <c r="L309" s="662"/>
      <c r="M309" s="663"/>
      <c r="N309" s="663"/>
      <c r="O309" s="662"/>
      <c r="P309" s="724"/>
    </row>
    <row r="310" spans="2:16" ht="18.75" customHeight="1">
      <c r="B310" s="655"/>
      <c r="C310" s="656"/>
      <c r="D310" s="656"/>
      <c r="E310" s="663"/>
      <c r="F310" s="657" t="s">
        <v>590</v>
      </c>
      <c r="G310" s="656"/>
      <c r="H310" s="658"/>
      <c r="I310" s="767"/>
      <c r="J310" s="664" t="s">
        <v>660</v>
      </c>
      <c r="K310" s="656">
        <v>421060445.73</v>
      </c>
      <c r="L310" s="656">
        <v>517670507.14</v>
      </c>
      <c r="M310" s="657">
        <v>0.317041805950518</v>
      </c>
      <c r="N310" s="657">
        <v>1.2294446376754895</v>
      </c>
      <c r="O310" s="656">
        <v>96610061.40999997</v>
      </c>
      <c r="P310" s="658">
        <v>0.2294446376754895</v>
      </c>
    </row>
    <row r="311" spans="2:16" ht="18.75" customHeight="1">
      <c r="B311" s="655"/>
      <c r="C311" s="656"/>
      <c r="D311" s="656"/>
      <c r="E311" s="663"/>
      <c r="F311" s="657" t="s">
        <v>590</v>
      </c>
      <c r="G311" s="656"/>
      <c r="H311" s="658"/>
      <c r="I311" s="767"/>
      <c r="J311" s="664" t="s">
        <v>661</v>
      </c>
      <c r="K311" s="656">
        <v>0</v>
      </c>
      <c r="L311" s="656">
        <v>0</v>
      </c>
      <c r="M311" s="657">
        <v>0</v>
      </c>
      <c r="N311" s="657"/>
      <c r="O311" s="656">
        <v>0</v>
      </c>
      <c r="P311" s="658"/>
    </row>
    <row r="312" spans="2:16" ht="18.75" customHeight="1">
      <c r="B312" s="655" t="s">
        <v>1591</v>
      </c>
      <c r="C312" s="656">
        <v>0</v>
      </c>
      <c r="D312" s="656">
        <v>0</v>
      </c>
      <c r="E312" s="663">
        <v>0</v>
      </c>
      <c r="F312" s="657" t="s">
        <v>590</v>
      </c>
      <c r="G312" s="656">
        <v>0</v>
      </c>
      <c r="H312" s="658"/>
      <c r="I312" s="767"/>
      <c r="J312" s="664" t="s">
        <v>698</v>
      </c>
      <c r="K312" s="656">
        <v>0</v>
      </c>
      <c r="L312" s="656">
        <v>0</v>
      </c>
      <c r="M312" s="657">
        <v>0</v>
      </c>
      <c r="N312" s="657"/>
      <c r="O312" s="656">
        <v>0</v>
      </c>
      <c r="P312" s="658"/>
    </row>
    <row r="313" spans="2:16" ht="18.75" customHeight="1">
      <c r="B313" s="655" t="s">
        <v>1593</v>
      </c>
      <c r="C313" s="656">
        <v>0</v>
      </c>
      <c r="D313" s="656">
        <v>0</v>
      </c>
      <c r="E313" s="663">
        <v>0</v>
      </c>
      <c r="F313" s="657" t="e">
        <v>#DIV/0!</v>
      </c>
      <c r="G313" s="656">
        <v>0</v>
      </c>
      <c r="H313" s="658"/>
      <c r="I313" s="767"/>
      <c r="J313" s="664" t="s">
        <v>699</v>
      </c>
      <c r="K313" s="656">
        <v>0</v>
      </c>
      <c r="L313" s="656">
        <v>0</v>
      </c>
      <c r="M313" s="657">
        <v>0</v>
      </c>
      <c r="N313" s="657"/>
      <c r="O313" s="656">
        <v>0</v>
      </c>
      <c r="P313" s="658"/>
    </row>
    <row r="314" spans="2:16" ht="18.75" customHeight="1">
      <c r="B314" s="655"/>
      <c r="C314" s="662"/>
      <c r="D314" s="662"/>
      <c r="E314" s="663"/>
      <c r="F314" s="663" t="s">
        <v>590</v>
      </c>
      <c r="G314" s="662"/>
      <c r="H314" s="724"/>
      <c r="I314" s="771"/>
      <c r="J314" s="664"/>
      <c r="K314" s="656"/>
      <c r="L314" s="656"/>
      <c r="M314" s="657"/>
      <c r="N314" s="657"/>
      <c r="O314" s="656"/>
      <c r="P314" s="658"/>
    </row>
    <row r="315" spans="2:16" ht="18.75" customHeight="1">
      <c r="B315" s="755"/>
      <c r="C315" s="662"/>
      <c r="D315" s="662"/>
      <c r="E315" s="663"/>
      <c r="F315" s="663" t="s">
        <v>590</v>
      </c>
      <c r="G315" s="662"/>
      <c r="H315" s="724"/>
      <c r="I315" s="771"/>
      <c r="J315" s="779" t="s">
        <v>677</v>
      </c>
      <c r="K315" s="733">
        <v>1723902618</v>
      </c>
      <c r="L315" s="733">
        <v>1632814655.43</v>
      </c>
      <c r="M315" s="764">
        <v>1</v>
      </c>
      <c r="N315" s="764">
        <v>0.9471617702653782</v>
      </c>
      <c r="O315" s="733">
        <v>-91087962.56999993</v>
      </c>
      <c r="P315" s="884">
        <v>-0.05283822973462178</v>
      </c>
    </row>
    <row r="316" spans="2:16" ht="18.75" customHeight="1" thickBot="1">
      <c r="B316" s="755"/>
      <c r="C316" s="662"/>
      <c r="D316" s="662"/>
      <c r="E316" s="663"/>
      <c r="F316" s="663" t="s">
        <v>590</v>
      </c>
      <c r="G316" s="662"/>
      <c r="H316" s="724"/>
      <c r="I316" s="771"/>
      <c r="J316" s="882" t="s">
        <v>679</v>
      </c>
      <c r="K316" s="735">
        <v>1723902618</v>
      </c>
      <c r="L316" s="735">
        <v>1632814655.43</v>
      </c>
      <c r="M316" s="735"/>
      <c r="N316" s="765">
        <v>0.9471617702653782</v>
      </c>
      <c r="O316" s="735">
        <v>-91087962.56999993</v>
      </c>
      <c r="P316" s="885">
        <v>-0.05283822973462178</v>
      </c>
    </row>
    <row r="317" spans="2:16" ht="39.75" customHeight="1" thickBot="1">
      <c r="B317" s="681" t="s">
        <v>1027</v>
      </c>
      <c r="C317" s="682">
        <v>2144963063.732368</v>
      </c>
      <c r="D317" s="682">
        <v>2150485162.5723677</v>
      </c>
      <c r="E317" s="683"/>
      <c r="F317" s="683">
        <v>1.0025744493848723</v>
      </c>
      <c r="G317" s="682">
        <v>5522098.839999676</v>
      </c>
      <c r="H317" s="684">
        <v>0.0025744493848723357</v>
      </c>
      <c r="I317" s="692"/>
      <c r="J317" s="694" t="s">
        <v>700</v>
      </c>
      <c r="K317" s="739">
        <v>2144963063.73</v>
      </c>
      <c r="L317" s="739">
        <v>2150485162.57</v>
      </c>
      <c r="M317" s="739"/>
      <c r="N317" s="766">
        <v>1.0025744493848754</v>
      </c>
      <c r="O317" s="739">
        <v>5522098.840000153</v>
      </c>
      <c r="P317" s="784">
        <v>0.0025744493848754</v>
      </c>
    </row>
    <row r="318" spans="2:43" s="690" customFormat="1" ht="18.75" customHeight="1" thickBot="1">
      <c r="B318" s="691"/>
      <c r="C318" s="692"/>
      <c r="D318" s="700"/>
      <c r="E318" s="741"/>
      <c r="F318" s="767"/>
      <c r="G318" s="741"/>
      <c r="H318" s="847"/>
      <c r="I318" s="767"/>
      <c r="J318" s="768"/>
      <c r="K318" s="934"/>
      <c r="L318" s="934"/>
      <c r="M318" s="935"/>
      <c r="N318" s="935"/>
      <c r="O318" s="769"/>
      <c r="P318" s="936"/>
      <c r="Q318" s="743"/>
      <c r="R318" s="689"/>
      <c r="S318" s="689"/>
      <c r="T318" s="689"/>
      <c r="U318" s="689"/>
      <c r="V318" s="689"/>
      <c r="W318" s="689"/>
      <c r="X318" s="689"/>
      <c r="Y318" s="689"/>
      <c r="Z318" s="689"/>
      <c r="AA318" s="689"/>
      <c r="AB318" s="689"/>
      <c r="AC318" s="689"/>
      <c r="AD318" s="689"/>
      <c r="AE318" s="689"/>
      <c r="AF318" s="689"/>
      <c r="AG318" s="689"/>
      <c r="AH318" s="689"/>
      <c r="AI318" s="689"/>
      <c r="AJ318" s="689"/>
      <c r="AK318" s="689"/>
      <c r="AL318" s="689"/>
      <c r="AM318" s="689"/>
      <c r="AN318" s="689"/>
      <c r="AO318" s="689"/>
      <c r="AP318" s="689"/>
      <c r="AQ318" s="689"/>
    </row>
    <row r="319" spans="2:16" ht="18.75" customHeight="1" thickBot="1">
      <c r="B319" s="770"/>
      <c r="C319" s="692"/>
      <c r="D319" s="700"/>
      <c r="E319" s="692"/>
      <c r="F319" s="771"/>
      <c r="G319" s="741"/>
      <c r="H319" s="896"/>
      <c r="I319" s="771"/>
      <c r="J319" s="694" t="s">
        <v>687</v>
      </c>
      <c r="K319" s="772">
        <v>52183651</v>
      </c>
      <c r="L319" s="772">
        <v>148793712.40999985</v>
      </c>
      <c r="M319" s="772"/>
      <c r="N319" s="766">
        <v>2.8513473005175483</v>
      </c>
      <c r="O319" s="772">
        <v>96610061.40999985</v>
      </c>
      <c r="P319" s="784">
        <v>1.851347300517548</v>
      </c>
    </row>
    <row r="320" spans="2:16" ht="18.75" customHeight="1">
      <c r="B320" s="696" t="s">
        <v>1028</v>
      </c>
      <c r="C320" s="745"/>
      <c r="D320" s="745"/>
      <c r="E320" s="905"/>
      <c r="F320" s="745"/>
      <c r="G320" s="745"/>
      <c r="H320" s="773"/>
      <c r="I320" s="868"/>
      <c r="J320" s="774"/>
      <c r="K320" s="742"/>
      <c r="L320" s="742"/>
      <c r="M320" s="742"/>
      <c r="N320" s="775" t="s">
        <v>590</v>
      </c>
      <c r="O320" s="775" t="s">
        <v>590</v>
      </c>
      <c r="P320" s="776"/>
    </row>
    <row r="321" spans="2:16" ht="44.25" customHeight="1" thickBot="1">
      <c r="B321" s="901" t="s">
        <v>125</v>
      </c>
      <c r="C321" s="656">
        <v>1776086269</v>
      </c>
      <c r="D321" s="656">
        <v>1781608367.84</v>
      </c>
      <c r="E321" s="657"/>
      <c r="F321" s="657">
        <v>1.0031091388613174</v>
      </c>
      <c r="G321" s="656">
        <v>5522098.839999914</v>
      </c>
      <c r="H321" s="658">
        <v>0.003109138861317279</v>
      </c>
      <c r="I321" s="692"/>
      <c r="J321" s="770"/>
      <c r="K321" s="777"/>
      <c r="L321" s="777"/>
      <c r="M321" s="777"/>
      <c r="N321" s="771"/>
      <c r="O321" s="771"/>
      <c r="P321" s="771"/>
    </row>
    <row r="322" spans="2:16" ht="18.75" customHeight="1">
      <c r="B322" s="664" t="s">
        <v>1596</v>
      </c>
      <c r="C322" s="656">
        <v>1652139003</v>
      </c>
      <c r="D322" s="656">
        <v>1657661101.84</v>
      </c>
      <c r="E322" s="657"/>
      <c r="F322" s="657">
        <v>1.0033423936060906</v>
      </c>
      <c r="G322" s="656">
        <v>5522098.839999914</v>
      </c>
      <c r="H322" s="658">
        <v>0.0033423936060904885</v>
      </c>
      <c r="I322" s="692"/>
      <c r="J322" s="696"/>
      <c r="K322" s="745"/>
      <c r="L322" s="697"/>
      <c r="M322" s="697"/>
      <c r="N322" s="745"/>
      <c r="O322" s="745"/>
      <c r="P322" s="773"/>
    </row>
    <row r="323" spans="2:43" s="690" customFormat="1" ht="18.75" customHeight="1">
      <c r="B323" s="664" t="s">
        <v>1597</v>
      </c>
      <c r="C323" s="656">
        <v>1652139003</v>
      </c>
      <c r="D323" s="656">
        <v>1657661101.8399997</v>
      </c>
      <c r="E323" s="657">
        <v>1</v>
      </c>
      <c r="F323" s="657">
        <v>1.0033423936060903</v>
      </c>
      <c r="G323" s="656">
        <v>5522098.839999676</v>
      </c>
      <c r="H323" s="658">
        <v>0.003342393606090344</v>
      </c>
      <c r="I323" s="692"/>
      <c r="J323" s="755" t="s">
        <v>1029</v>
      </c>
      <c r="K323" s="670"/>
      <c r="L323" s="662"/>
      <c r="M323" s="662"/>
      <c r="N323" s="670"/>
      <c r="O323" s="670"/>
      <c r="P323" s="778"/>
      <c r="Q323" s="689"/>
      <c r="R323" s="602"/>
      <c r="S323" s="689"/>
      <c r="T323" s="689"/>
      <c r="U323" s="689"/>
      <c r="V323" s="689"/>
      <c r="W323" s="689"/>
      <c r="X323" s="689"/>
      <c r="Y323" s="689"/>
      <c r="Z323" s="689"/>
      <c r="AA323" s="689"/>
      <c r="AB323" s="689"/>
      <c r="AC323" s="689"/>
      <c r="AD323" s="689"/>
      <c r="AE323" s="689"/>
      <c r="AF323" s="689"/>
      <c r="AG323" s="689"/>
      <c r="AH323" s="689"/>
      <c r="AI323" s="689"/>
      <c r="AJ323" s="689"/>
      <c r="AK323" s="689"/>
      <c r="AL323" s="689"/>
      <c r="AM323" s="689"/>
      <c r="AN323" s="689"/>
      <c r="AO323" s="689"/>
      <c r="AP323" s="689"/>
      <c r="AQ323" s="689"/>
    </row>
    <row r="324" spans="2:17" ht="39.75" customHeight="1" thickBot="1">
      <c r="B324" s="902" t="s">
        <v>678</v>
      </c>
      <c r="C324" s="703">
        <v>1776086269</v>
      </c>
      <c r="D324" s="703">
        <v>1781608367.84</v>
      </c>
      <c r="E324" s="903"/>
      <c r="F324" s="903">
        <v>1.0031091388613174</v>
      </c>
      <c r="G324" s="703">
        <v>5522098.839999914</v>
      </c>
      <c r="H324" s="904">
        <v>0.003109138861317279</v>
      </c>
      <c r="I324" s="692"/>
      <c r="J324" s="779" t="s">
        <v>677</v>
      </c>
      <c r="K324" s="656">
        <v>7435380072</v>
      </c>
      <c r="L324" s="656">
        <v>7242589792.309999</v>
      </c>
      <c r="M324" s="656"/>
      <c r="N324" s="657">
        <v>0.9740712273181561</v>
      </c>
      <c r="O324" s="656">
        <v>-192790279.69000053</v>
      </c>
      <c r="P324" s="658">
        <v>-0.025928772681843956</v>
      </c>
      <c r="Q324" s="698"/>
    </row>
    <row r="325" spans="2:17" ht="35.25" customHeight="1" thickBot="1">
      <c r="B325" s="780"/>
      <c r="C325" s="692"/>
      <c r="D325" s="692"/>
      <c r="E325" s="767"/>
      <c r="F325" s="767"/>
      <c r="G325" s="692"/>
      <c r="H325" s="767"/>
      <c r="I325" s="767"/>
      <c r="J325" s="725" t="s">
        <v>679</v>
      </c>
      <c r="K325" s="703">
        <v>7593604433</v>
      </c>
      <c r="L325" s="703">
        <v>7375127282.31</v>
      </c>
      <c r="M325" s="703"/>
      <c r="N325" s="657">
        <v>0.9712287948868459</v>
      </c>
      <c r="O325" s="656">
        <v>-218477150.68999958</v>
      </c>
      <c r="P325" s="658">
        <v>-0.028771205113154143</v>
      </c>
      <c r="Q325" s="698"/>
    </row>
    <row r="326" spans="2:17" ht="18.75" customHeight="1" thickBot="1">
      <c r="B326" s="781"/>
      <c r="C326" s="782"/>
      <c r="D326" s="782"/>
      <c r="E326" s="783"/>
      <c r="F326" s="643"/>
      <c r="G326" s="643"/>
      <c r="H326" s="643"/>
      <c r="I326" s="868"/>
      <c r="J326" s="694" t="s">
        <v>700</v>
      </c>
      <c r="K326" s="739">
        <v>8044464785.690001</v>
      </c>
      <c r="L326" s="739">
        <v>8015365191.939999</v>
      </c>
      <c r="M326" s="739"/>
      <c r="N326" s="766">
        <v>0.9963826563326169</v>
      </c>
      <c r="O326" s="739">
        <v>-29099593.750001907</v>
      </c>
      <c r="P326" s="784">
        <v>-0.0036173436673830797</v>
      </c>
      <c r="Q326" s="698"/>
    </row>
    <row r="327" spans="2:17" ht="18.75" customHeight="1" thickBot="1">
      <c r="B327" s="768" t="s">
        <v>1029</v>
      </c>
      <c r="C327" s="785"/>
      <c r="D327" s="785"/>
      <c r="E327" s="744"/>
      <c r="F327" s="785"/>
      <c r="G327" s="785"/>
      <c r="H327" s="786"/>
      <c r="I327" s="692"/>
      <c r="J327" s="787"/>
      <c r="K327" s="785"/>
      <c r="L327" s="785"/>
      <c r="M327" s="785"/>
      <c r="N327" s="785"/>
      <c r="O327" s="785"/>
      <c r="P327" s="788"/>
      <c r="Q327" s="698"/>
    </row>
    <row r="328" spans="2:17" ht="18.75" customHeight="1" thickBot="1">
      <c r="B328" s="781"/>
      <c r="C328" s="782"/>
      <c r="D328" s="782"/>
      <c r="E328" s="783"/>
      <c r="F328" s="643"/>
      <c r="G328" s="868"/>
      <c r="H328" s="789"/>
      <c r="I328" s="868"/>
      <c r="J328" s="694" t="s">
        <v>687</v>
      </c>
      <c r="K328" s="739">
        <v>56747666</v>
      </c>
      <c r="L328" s="739">
        <v>246125222.93999982</v>
      </c>
      <c r="M328" s="739"/>
      <c r="N328" s="739"/>
      <c r="O328" s="739"/>
      <c r="P328" s="790"/>
      <c r="Q328" s="698"/>
    </row>
    <row r="329" spans="2:16" ht="47.25" customHeight="1" thickBot="1">
      <c r="B329" s="791" t="s">
        <v>1030</v>
      </c>
      <c r="C329" s="739">
        <v>8044464785.692368</v>
      </c>
      <c r="D329" s="739">
        <v>8015365191.942368</v>
      </c>
      <c r="E329" s="766"/>
      <c r="F329" s="766">
        <v>0.9963826563326182</v>
      </c>
      <c r="G329" s="739">
        <v>-29099593.75</v>
      </c>
      <c r="H329" s="784">
        <v>-0.003617343667381778</v>
      </c>
      <c r="I329" s="692"/>
      <c r="J329" s="704"/>
      <c r="K329" s="704"/>
      <c r="L329" s="705"/>
      <c r="M329" s="705"/>
      <c r="N329" s="792"/>
      <c r="O329" s="792"/>
      <c r="P329" s="792"/>
    </row>
    <row r="330" spans="2:16" ht="18.75" customHeight="1">
      <c r="B330" s="793" t="s">
        <v>1031</v>
      </c>
      <c r="C330" s="693">
        <v>91024760.9999981</v>
      </c>
      <c r="D330" s="693">
        <v>254715446.93999958</v>
      </c>
      <c r="E330" s="794"/>
      <c r="F330" s="792"/>
      <c r="G330" s="792"/>
      <c r="H330" s="792"/>
      <c r="I330" s="860"/>
      <c r="J330" s="704"/>
      <c r="K330" s="704"/>
      <c r="L330" s="705"/>
      <c r="M330" s="705"/>
      <c r="N330" s="792"/>
      <c r="O330" s="792"/>
      <c r="P330" s="792"/>
    </row>
    <row r="331" spans="2:16" ht="18.75" customHeight="1" thickBot="1">
      <c r="B331" s="781"/>
      <c r="C331" s="693"/>
      <c r="D331" s="743"/>
      <c r="E331" s="693"/>
      <c r="F331" s="792"/>
      <c r="G331" s="795"/>
      <c r="H331" s="792"/>
      <c r="I331" s="860"/>
      <c r="J331" s="704"/>
      <c r="K331" s="704"/>
      <c r="L331" s="705"/>
      <c r="M331" s="705"/>
      <c r="N331" s="792"/>
      <c r="O331" s="792"/>
      <c r="P331" s="792"/>
    </row>
    <row r="332" spans="2:16" ht="42.75" customHeight="1">
      <c r="B332" s="907" t="s">
        <v>502</v>
      </c>
      <c r="C332" s="888">
        <v>7650352099</v>
      </c>
      <c r="D332" s="888">
        <v>7621252505.25</v>
      </c>
      <c r="E332" s="899"/>
      <c r="F332" s="899">
        <v>0.9961963066047896</v>
      </c>
      <c r="G332" s="888">
        <v>-29099593.75</v>
      </c>
      <c r="H332" s="908">
        <v>-0.0038036933952103583</v>
      </c>
      <c r="I332" s="692"/>
      <c r="J332" s="704"/>
      <c r="K332" s="704"/>
      <c r="L332" s="705"/>
      <c r="M332" s="705"/>
      <c r="N332" s="792"/>
      <c r="O332" s="792"/>
      <c r="P332" s="792"/>
    </row>
    <row r="333" spans="2:16" ht="33" customHeight="1">
      <c r="B333" s="664" t="s">
        <v>1032</v>
      </c>
      <c r="C333" s="656">
        <v>7526404833</v>
      </c>
      <c r="D333" s="656">
        <v>7497305239.25</v>
      </c>
      <c r="E333" s="657"/>
      <c r="F333" s="657">
        <v>0.9961336661532727</v>
      </c>
      <c r="G333" s="656">
        <v>-29099593.75</v>
      </c>
      <c r="H333" s="658">
        <v>-0.0038663338467273224</v>
      </c>
      <c r="I333" s="692"/>
      <c r="K333" s="603"/>
      <c r="L333" s="603"/>
      <c r="M333" s="603"/>
      <c r="N333" s="603"/>
      <c r="O333" s="603"/>
      <c r="P333" s="603"/>
    </row>
    <row r="334" spans="2:16" ht="24.75" customHeight="1">
      <c r="B334" s="664" t="s">
        <v>1597</v>
      </c>
      <c r="C334" s="656">
        <v>7526404833</v>
      </c>
      <c r="D334" s="656">
        <v>7497305239.25</v>
      </c>
      <c r="E334" s="657">
        <v>1</v>
      </c>
      <c r="F334" s="657">
        <v>0.9961336661532727</v>
      </c>
      <c r="G334" s="656">
        <v>-29099593.75</v>
      </c>
      <c r="H334" s="658">
        <v>-0.0038663338467273224</v>
      </c>
      <c r="I334" s="692"/>
      <c r="K334" s="603"/>
      <c r="L334" s="603"/>
      <c r="M334" s="603"/>
      <c r="N334" s="603"/>
      <c r="O334" s="603"/>
      <c r="P334" s="603"/>
    </row>
    <row r="335" spans="2:16" ht="42.75" customHeight="1" thickBot="1">
      <c r="B335" s="902" t="s">
        <v>71</v>
      </c>
      <c r="C335" s="703">
        <v>7650352099</v>
      </c>
      <c r="D335" s="703">
        <v>7621252505.25</v>
      </c>
      <c r="E335" s="903"/>
      <c r="F335" s="903">
        <v>0.9961963066047896</v>
      </c>
      <c r="G335" s="703">
        <v>-29099593.75</v>
      </c>
      <c r="H335" s="904">
        <v>-0.0038036933952103583</v>
      </c>
      <c r="I335" s="692"/>
      <c r="K335" s="603"/>
      <c r="L335" s="603"/>
      <c r="M335" s="603"/>
      <c r="N335" s="603"/>
      <c r="O335" s="603"/>
      <c r="P335" s="603"/>
    </row>
    <row r="336" spans="2:16" ht="42.75" customHeight="1">
      <c r="B336" s="780"/>
      <c r="C336" s="692"/>
      <c r="D336" s="692"/>
      <c r="E336" s="767"/>
      <c r="F336" s="767"/>
      <c r="G336" s="692"/>
      <c r="H336" s="767"/>
      <c r="I336" s="767"/>
      <c r="K336" s="603"/>
      <c r="L336" s="603"/>
      <c r="M336" s="603"/>
      <c r="N336" s="603"/>
      <c r="O336" s="603"/>
      <c r="P336" s="603"/>
    </row>
    <row r="337" spans="2:16" ht="18.75" customHeight="1">
      <c r="B337" s="946" t="s">
        <v>241</v>
      </c>
      <c r="C337" s="946"/>
      <c r="D337" s="946"/>
      <c r="E337" s="946"/>
      <c r="F337" s="946"/>
      <c r="G337" s="946"/>
      <c r="H337" s="946"/>
      <c r="I337" s="706"/>
      <c r="J337" s="941" t="s">
        <v>241</v>
      </c>
      <c r="K337" s="941"/>
      <c r="L337" s="941"/>
      <c r="M337" s="941"/>
      <c r="N337" s="941"/>
      <c r="O337" s="941"/>
      <c r="P337" s="941"/>
    </row>
    <row r="338" spans="2:16" ht="18.75" customHeight="1">
      <c r="B338" s="946" t="s">
        <v>714</v>
      </c>
      <c r="C338" s="946"/>
      <c r="D338" s="946"/>
      <c r="E338" s="946"/>
      <c r="F338" s="946"/>
      <c r="G338" s="946"/>
      <c r="H338" s="946"/>
      <c r="I338" s="706"/>
      <c r="J338" s="946" t="s">
        <v>714</v>
      </c>
      <c r="K338" s="946"/>
      <c r="L338" s="946"/>
      <c r="M338" s="946"/>
      <c r="N338" s="946"/>
      <c r="O338" s="946"/>
      <c r="P338" s="946"/>
    </row>
    <row r="339" spans="2:16" ht="18.75" customHeight="1">
      <c r="B339" s="946" t="s">
        <v>1101</v>
      </c>
      <c r="C339" s="946"/>
      <c r="D339" s="946"/>
      <c r="E339" s="946"/>
      <c r="F339" s="946"/>
      <c r="G339" s="946"/>
      <c r="H339" s="946"/>
      <c r="I339" s="706"/>
      <c r="J339" s="946" t="s">
        <v>1101</v>
      </c>
      <c r="K339" s="946"/>
      <c r="L339" s="946"/>
      <c r="M339" s="946"/>
      <c r="N339" s="946"/>
      <c r="O339" s="946"/>
      <c r="P339" s="946"/>
    </row>
    <row r="340" spans="2:16" ht="18.75" customHeight="1" thickBot="1">
      <c r="B340" s="796"/>
      <c r="C340" s="749"/>
      <c r="D340" s="749"/>
      <c r="E340" s="749"/>
      <c r="F340" s="700"/>
      <c r="G340" s="700"/>
      <c r="H340" s="605" t="s">
        <v>62</v>
      </c>
      <c r="I340" s="871"/>
      <c r="J340" s="796"/>
      <c r="K340" s="749"/>
      <c r="L340" s="749"/>
      <c r="M340" s="749"/>
      <c r="N340" s="700"/>
      <c r="O340" s="700"/>
      <c r="P340" s="605" t="s">
        <v>62</v>
      </c>
    </row>
    <row r="341" spans="2:43" s="609" customFormat="1" ht="37.5" customHeight="1">
      <c r="B341" s="606"/>
      <c r="C341" s="607"/>
      <c r="D341" s="942" t="s">
        <v>412</v>
      </c>
      <c r="E341" s="942" t="s">
        <v>413</v>
      </c>
      <c r="F341" s="942" t="s">
        <v>414</v>
      </c>
      <c r="G341" s="944" t="s">
        <v>418</v>
      </c>
      <c r="H341" s="945"/>
      <c r="I341" s="866"/>
      <c r="J341" s="606"/>
      <c r="K341" s="607"/>
      <c r="L341" s="942" t="s">
        <v>412</v>
      </c>
      <c r="M341" s="942" t="s">
        <v>413</v>
      </c>
      <c r="N341" s="942" t="s">
        <v>414</v>
      </c>
      <c r="O341" s="944" t="s">
        <v>418</v>
      </c>
      <c r="P341" s="945"/>
      <c r="Q341" s="608"/>
      <c r="R341" s="608"/>
      <c r="S341" s="608"/>
      <c r="T341" s="608"/>
      <c r="U341" s="608"/>
      <c r="V341" s="608"/>
      <c r="W341" s="608"/>
      <c r="X341" s="608"/>
      <c r="Y341" s="608"/>
      <c r="Z341" s="608"/>
      <c r="AA341" s="608"/>
      <c r="AB341" s="608"/>
      <c r="AC341" s="608"/>
      <c r="AD341" s="608"/>
      <c r="AE341" s="608"/>
      <c r="AF341" s="608"/>
      <c r="AG341" s="608"/>
      <c r="AH341" s="608"/>
      <c r="AI341" s="608"/>
      <c r="AJ341" s="608"/>
      <c r="AK341" s="608"/>
      <c r="AL341" s="608"/>
      <c r="AM341" s="608"/>
      <c r="AN341" s="608"/>
      <c r="AO341" s="608"/>
      <c r="AP341" s="608"/>
      <c r="AQ341" s="608"/>
    </row>
    <row r="342" spans="2:43" s="609" customFormat="1" ht="68.25" customHeight="1">
      <c r="B342" s="610" t="s">
        <v>1080</v>
      </c>
      <c r="C342" s="611" t="s">
        <v>411</v>
      </c>
      <c r="D342" s="943"/>
      <c r="E342" s="943"/>
      <c r="F342" s="943"/>
      <c r="G342" s="707" t="s">
        <v>416</v>
      </c>
      <c r="H342" s="708" t="s">
        <v>419</v>
      </c>
      <c r="I342" s="866"/>
      <c r="J342" s="610" t="s">
        <v>1080</v>
      </c>
      <c r="K342" s="611" t="s">
        <v>411</v>
      </c>
      <c r="L342" s="943"/>
      <c r="M342" s="943"/>
      <c r="N342" s="943"/>
      <c r="O342" s="707" t="s">
        <v>416</v>
      </c>
      <c r="P342" s="708" t="s">
        <v>419</v>
      </c>
      <c r="Q342" s="608"/>
      <c r="R342" s="608"/>
      <c r="S342" s="608"/>
      <c r="T342" s="608"/>
      <c r="U342" s="608"/>
      <c r="V342" s="608"/>
      <c r="W342" s="608"/>
      <c r="X342" s="608"/>
      <c r="Y342" s="608"/>
      <c r="Z342" s="608"/>
      <c r="AA342" s="608"/>
      <c r="AB342" s="608"/>
      <c r="AC342" s="608"/>
      <c r="AD342" s="608"/>
      <c r="AE342" s="608"/>
      <c r="AF342" s="608"/>
      <c r="AG342" s="608"/>
      <c r="AH342" s="608"/>
      <c r="AI342" s="608"/>
      <c r="AJ342" s="608"/>
      <c r="AK342" s="608"/>
      <c r="AL342" s="608"/>
      <c r="AM342" s="608"/>
      <c r="AN342" s="608"/>
      <c r="AO342" s="608"/>
      <c r="AP342" s="608"/>
      <c r="AQ342" s="608"/>
    </row>
    <row r="343" spans="2:43" s="609" customFormat="1" ht="37.5" customHeight="1">
      <c r="B343" s="709"/>
      <c r="C343" s="710">
        <v>2011</v>
      </c>
      <c r="D343" s="711">
        <v>2011</v>
      </c>
      <c r="E343" s="711">
        <v>2011</v>
      </c>
      <c r="F343" s="711">
        <v>2011</v>
      </c>
      <c r="G343" s="711">
        <v>2011</v>
      </c>
      <c r="H343" s="712">
        <v>2011</v>
      </c>
      <c r="I343" s="872"/>
      <c r="J343" s="709"/>
      <c r="K343" s="614">
        <v>2011</v>
      </c>
      <c r="L343" s="615">
        <v>2011</v>
      </c>
      <c r="M343" s="615">
        <v>2011</v>
      </c>
      <c r="N343" s="615">
        <v>2011</v>
      </c>
      <c r="O343" s="615">
        <v>2011</v>
      </c>
      <c r="P343" s="615">
        <v>2011</v>
      </c>
      <c r="Q343" s="608"/>
      <c r="R343" s="608"/>
      <c r="S343" s="608"/>
      <c r="T343" s="608"/>
      <c r="U343" s="608"/>
      <c r="V343" s="608"/>
      <c r="W343" s="608"/>
      <c r="X343" s="608"/>
      <c r="Y343" s="608"/>
      <c r="Z343" s="608"/>
      <c r="AA343" s="608"/>
      <c r="AB343" s="608"/>
      <c r="AC343" s="608"/>
      <c r="AD343" s="608"/>
      <c r="AE343" s="608"/>
      <c r="AF343" s="608"/>
      <c r="AG343" s="608"/>
      <c r="AH343" s="608"/>
      <c r="AI343" s="608"/>
      <c r="AJ343" s="608"/>
      <c r="AK343" s="608"/>
      <c r="AL343" s="608"/>
      <c r="AM343" s="608"/>
      <c r="AN343" s="608"/>
      <c r="AO343" s="608"/>
      <c r="AP343" s="608"/>
      <c r="AQ343" s="608"/>
    </row>
    <row r="344" spans="2:16" ht="19.5">
      <c r="B344" s="713"/>
      <c r="C344" s="618" t="s">
        <v>1131</v>
      </c>
      <c r="D344" s="619" t="s">
        <v>1129</v>
      </c>
      <c r="E344" s="619" t="s">
        <v>1130</v>
      </c>
      <c r="F344" s="620" t="s">
        <v>415</v>
      </c>
      <c r="G344" s="621" t="s">
        <v>417</v>
      </c>
      <c r="H344" s="622" t="s">
        <v>17</v>
      </c>
      <c r="I344" s="873"/>
      <c r="J344" s="713"/>
      <c r="K344" s="618" t="s">
        <v>1131</v>
      </c>
      <c r="L344" s="619" t="s">
        <v>1129</v>
      </c>
      <c r="M344" s="619" t="s">
        <v>1130</v>
      </c>
      <c r="N344" s="620" t="s">
        <v>415</v>
      </c>
      <c r="O344" s="621" t="s">
        <v>417</v>
      </c>
      <c r="P344" s="622" t="s">
        <v>17</v>
      </c>
    </row>
    <row r="345" spans="2:16" ht="18.75" customHeight="1">
      <c r="B345" s="623" t="s">
        <v>420</v>
      </c>
      <c r="C345" s="797"/>
      <c r="D345" s="797"/>
      <c r="E345" s="798"/>
      <c r="F345" s="799"/>
      <c r="G345" s="800">
        <v>0</v>
      </c>
      <c r="H345" s="801"/>
      <c r="I345" s="829"/>
      <c r="J345" s="874"/>
      <c r="K345" s="714"/>
      <c r="L345" s="715"/>
      <c r="M345" s="715"/>
      <c r="N345" s="653"/>
      <c r="O345" s="716"/>
      <c r="P345" s="717"/>
    </row>
    <row r="346" spans="2:16" ht="18.75" customHeight="1">
      <c r="B346" s="633" t="s">
        <v>421</v>
      </c>
      <c r="C346" s="797"/>
      <c r="D346" s="797"/>
      <c r="E346" s="798"/>
      <c r="F346" s="799"/>
      <c r="G346" s="800">
        <v>0</v>
      </c>
      <c r="H346" s="801"/>
      <c r="I346" s="829"/>
      <c r="J346" s="874"/>
      <c r="K346" s="714"/>
      <c r="L346" s="715"/>
      <c r="M346" s="715"/>
      <c r="N346" s="653"/>
      <c r="O346" s="716"/>
      <c r="P346" s="717"/>
    </row>
    <row r="347" spans="2:16" ht="18.75" customHeight="1">
      <c r="B347" s="635" t="s">
        <v>422</v>
      </c>
      <c r="C347" s="797">
        <v>0</v>
      </c>
      <c r="D347" s="797">
        <v>0</v>
      </c>
      <c r="E347" s="798"/>
      <c r="F347" s="799"/>
      <c r="G347" s="800">
        <v>0</v>
      </c>
      <c r="H347" s="801"/>
      <c r="I347" s="829"/>
      <c r="J347" s="874"/>
      <c r="K347" s="714"/>
      <c r="L347" s="715"/>
      <c r="M347" s="715"/>
      <c r="N347" s="653"/>
      <c r="O347" s="716"/>
      <c r="P347" s="717"/>
    </row>
    <row r="348" spans="2:16" ht="18.75" customHeight="1">
      <c r="B348" s="636" t="s">
        <v>423</v>
      </c>
      <c r="C348" s="802">
        <v>1006270084.4122019</v>
      </c>
      <c r="D348" s="802">
        <v>1006270084.4122019</v>
      </c>
      <c r="E348" s="803"/>
      <c r="F348" s="804">
        <v>1</v>
      </c>
      <c r="G348" s="802">
        <v>0</v>
      </c>
      <c r="H348" s="805"/>
      <c r="I348" s="869"/>
      <c r="J348" s="877"/>
      <c r="K348" s="714"/>
      <c r="L348" s="714"/>
      <c r="M348" s="714"/>
      <c r="N348" s="719" t="s">
        <v>590</v>
      </c>
      <c r="O348" s="720" t="s">
        <v>590</v>
      </c>
      <c r="P348" s="721"/>
    </row>
    <row r="349" spans="2:16" ht="18.75" customHeight="1">
      <c r="B349" s="636" t="s">
        <v>424</v>
      </c>
      <c r="C349" s="802">
        <v>478296514.46</v>
      </c>
      <c r="D349" s="802">
        <v>478296514.46</v>
      </c>
      <c r="E349" s="803"/>
      <c r="F349" s="804">
        <v>1</v>
      </c>
      <c r="G349" s="802">
        <v>0</v>
      </c>
      <c r="H349" s="805">
        <v>0</v>
      </c>
      <c r="I349" s="869"/>
      <c r="J349" s="877"/>
      <c r="K349" s="714"/>
      <c r="L349" s="714"/>
      <c r="M349" s="714"/>
      <c r="N349" s="719" t="s">
        <v>590</v>
      </c>
      <c r="O349" s="720" t="s">
        <v>590</v>
      </c>
      <c r="P349" s="721"/>
    </row>
    <row r="350" spans="2:17" ht="18.75" customHeight="1">
      <c r="B350" s="646" t="s">
        <v>1588</v>
      </c>
      <c r="C350" s="806">
        <v>1484566598.872202</v>
      </c>
      <c r="D350" s="806">
        <v>1484566598.872202</v>
      </c>
      <c r="E350" s="799"/>
      <c r="F350" s="799">
        <v>1</v>
      </c>
      <c r="G350" s="806">
        <v>0</v>
      </c>
      <c r="H350" s="801">
        <v>0</v>
      </c>
      <c r="I350" s="829"/>
      <c r="J350" s="883"/>
      <c r="K350" s="652"/>
      <c r="L350" s="652"/>
      <c r="M350" s="652"/>
      <c r="N350" s="653" t="s">
        <v>590</v>
      </c>
      <c r="O350" s="716" t="s">
        <v>590</v>
      </c>
      <c r="P350" s="717"/>
      <c r="Q350" s="668"/>
    </row>
    <row r="351" spans="2:16" ht="18.75" customHeight="1">
      <c r="B351" s="757"/>
      <c r="C351" s="659"/>
      <c r="D351" s="659"/>
      <c r="E351" s="660"/>
      <c r="F351" s="644"/>
      <c r="G351" s="659"/>
      <c r="H351" s="650"/>
      <c r="I351" s="926"/>
      <c r="J351" s="757"/>
      <c r="K351" s="662"/>
      <c r="L351" s="662"/>
      <c r="M351" s="662"/>
      <c r="N351" s="663" t="s">
        <v>590</v>
      </c>
      <c r="O351" s="723" t="s">
        <v>590</v>
      </c>
      <c r="P351" s="724"/>
    </row>
    <row r="352" spans="2:16" ht="18.75" customHeight="1">
      <c r="B352" s="655" t="s">
        <v>82</v>
      </c>
      <c r="C352" s="659">
        <v>16156583944</v>
      </c>
      <c r="D352" s="659">
        <v>15701882124.21</v>
      </c>
      <c r="E352" s="660">
        <v>0.9913840848240457</v>
      </c>
      <c r="F352" s="660">
        <v>0.9718565619213794</v>
      </c>
      <c r="G352" s="659">
        <v>-454701819.7900009</v>
      </c>
      <c r="H352" s="807">
        <v>-0.02814343807862067</v>
      </c>
      <c r="I352" s="831"/>
      <c r="J352" s="655" t="s">
        <v>82</v>
      </c>
      <c r="K352" s="656">
        <v>16179250752.91</v>
      </c>
      <c r="L352" s="656">
        <v>15857881430.08</v>
      </c>
      <c r="M352" s="657">
        <v>0.9988411438879143</v>
      </c>
      <c r="N352" s="657">
        <v>0.9801369465287385</v>
      </c>
      <c r="O352" s="656">
        <v>-321369322.8299999</v>
      </c>
      <c r="P352" s="658">
        <v>-0.019863053471261546</v>
      </c>
    </row>
    <row r="353" spans="2:16" ht="18.75" customHeight="1">
      <c r="B353" s="661"/>
      <c r="C353" s="648"/>
      <c r="D353" s="648"/>
      <c r="E353" s="644"/>
      <c r="F353" s="644"/>
      <c r="G353" s="648"/>
      <c r="H353" s="650"/>
      <c r="I353" s="926"/>
      <c r="J353" s="664"/>
      <c r="K353" s="662"/>
      <c r="L353" s="662"/>
      <c r="M353" s="663">
        <v>0</v>
      </c>
      <c r="N353" s="663" t="s">
        <v>590</v>
      </c>
      <c r="O353" s="662"/>
      <c r="P353" s="724"/>
    </row>
    <row r="354" spans="2:16" ht="18.75" customHeight="1">
      <c r="B354" s="664" t="s">
        <v>339</v>
      </c>
      <c r="C354" s="659">
        <v>14111774907</v>
      </c>
      <c r="D354" s="659">
        <v>13760029463.359999</v>
      </c>
      <c r="E354" s="660">
        <v>0.8687795583213496</v>
      </c>
      <c r="F354" s="660">
        <v>0.9750743300571268</v>
      </c>
      <c r="G354" s="659">
        <v>-351745443.6400013</v>
      </c>
      <c r="H354" s="807">
        <v>-0.024925669942873138</v>
      </c>
      <c r="I354" s="831"/>
      <c r="J354" s="666" t="s">
        <v>1081</v>
      </c>
      <c r="K354" s="662">
        <v>453107737</v>
      </c>
      <c r="L354" s="662">
        <v>449940345.4500001</v>
      </c>
      <c r="M354" s="663">
        <v>0.02834041427993791</v>
      </c>
      <c r="N354" s="663">
        <v>0.9930096281935704</v>
      </c>
      <c r="O354" s="662">
        <v>-3167391.5499998927</v>
      </c>
      <c r="P354" s="724">
        <v>-0.006990371806429544</v>
      </c>
    </row>
    <row r="355" spans="2:17" ht="18.75" customHeight="1">
      <c r="B355" s="661"/>
      <c r="C355" s="648"/>
      <c r="D355" s="648"/>
      <c r="E355" s="644"/>
      <c r="F355" s="644"/>
      <c r="G355" s="648"/>
      <c r="H355" s="650"/>
      <c r="I355" s="926"/>
      <c r="J355" s="666" t="s">
        <v>1082</v>
      </c>
      <c r="K355" s="662">
        <v>3724384</v>
      </c>
      <c r="L355" s="662">
        <v>3536200.98</v>
      </c>
      <c r="M355" s="663">
        <v>0.00022273486199618693</v>
      </c>
      <c r="N355" s="663">
        <v>0.9494727128029764</v>
      </c>
      <c r="O355" s="662">
        <v>-188183.02</v>
      </c>
      <c r="P355" s="724">
        <v>-0.0505272871970236</v>
      </c>
      <c r="Q355" s="668"/>
    </row>
    <row r="356" spans="2:16" ht="18.75" customHeight="1">
      <c r="B356" s="664"/>
      <c r="C356" s="648"/>
      <c r="D356" s="648"/>
      <c r="E356" s="644"/>
      <c r="F356" s="644"/>
      <c r="G356" s="648"/>
      <c r="H356" s="650"/>
      <c r="I356" s="926"/>
      <c r="J356" s="666" t="s">
        <v>97</v>
      </c>
      <c r="K356" s="662">
        <v>427428000</v>
      </c>
      <c r="L356" s="662">
        <v>425212837.38</v>
      </c>
      <c r="M356" s="663">
        <v>0.026782901534301753</v>
      </c>
      <c r="N356" s="663">
        <v>0.9948174602038238</v>
      </c>
      <c r="O356" s="662">
        <v>-2215162.62</v>
      </c>
      <c r="P356" s="724">
        <v>-0.005182539796176209</v>
      </c>
    </row>
    <row r="357" spans="2:16" ht="18.75" customHeight="1">
      <c r="B357" s="664"/>
      <c r="C357" s="648"/>
      <c r="D357" s="648"/>
      <c r="E357" s="644"/>
      <c r="F357" s="660"/>
      <c r="G357" s="648"/>
      <c r="H357" s="807"/>
      <c r="I357" s="831"/>
      <c r="J357" s="666" t="s">
        <v>306</v>
      </c>
      <c r="K357" s="662">
        <v>17356285</v>
      </c>
      <c r="L357" s="662">
        <v>16673042.620000001</v>
      </c>
      <c r="M357" s="663">
        <v>0.001050185741145924</v>
      </c>
      <c r="N357" s="663">
        <v>0.9606342958761049</v>
      </c>
      <c r="O357" s="662">
        <v>-683242.379999999</v>
      </c>
      <c r="P357" s="724">
        <v>-0.03936570412389512</v>
      </c>
    </row>
    <row r="358" spans="2:16" ht="18.75" customHeight="1">
      <c r="B358" s="664" t="s">
        <v>340</v>
      </c>
      <c r="C358" s="659">
        <v>0</v>
      </c>
      <c r="D358" s="659">
        <v>0</v>
      </c>
      <c r="E358" s="660"/>
      <c r="F358" s="644"/>
      <c r="G358" s="659"/>
      <c r="H358" s="650"/>
      <c r="I358" s="926"/>
      <c r="J358" s="666" t="s">
        <v>866</v>
      </c>
      <c r="K358" s="662">
        <v>1574016675</v>
      </c>
      <c r="L358" s="662">
        <v>1566079697.98</v>
      </c>
      <c r="M358" s="663">
        <v>0.09864273760950244</v>
      </c>
      <c r="N358" s="663">
        <v>0.9949575013110964</v>
      </c>
      <c r="O358" s="662">
        <v>-7936977.019999981</v>
      </c>
      <c r="P358" s="724">
        <v>-0.005042498688903649</v>
      </c>
    </row>
    <row r="359" spans="2:16" ht="18.75" customHeight="1">
      <c r="B359" s="664"/>
      <c r="C359" s="648"/>
      <c r="D359" s="648"/>
      <c r="E359" s="644"/>
      <c r="F359" s="644"/>
      <c r="G359" s="648"/>
      <c r="H359" s="650"/>
      <c r="I359" s="926"/>
      <c r="J359" s="666" t="s">
        <v>194</v>
      </c>
      <c r="K359" s="662">
        <v>57000000</v>
      </c>
      <c r="L359" s="662">
        <v>56169551.09</v>
      </c>
      <c r="M359" s="663">
        <v>0.003537954228613703</v>
      </c>
      <c r="N359" s="663">
        <v>0.9854307208771931</v>
      </c>
      <c r="O359" s="662">
        <v>-830448.9099999964</v>
      </c>
      <c r="P359" s="724">
        <v>-0.014569279122806955</v>
      </c>
    </row>
    <row r="360" spans="2:16" ht="18.75" customHeight="1">
      <c r="B360" s="664"/>
      <c r="C360" s="648"/>
      <c r="D360" s="648"/>
      <c r="E360" s="644"/>
      <c r="F360" s="660"/>
      <c r="G360" s="648"/>
      <c r="H360" s="807"/>
      <c r="I360" s="831"/>
      <c r="J360" s="666" t="s">
        <v>23</v>
      </c>
      <c r="K360" s="662">
        <v>220283613</v>
      </c>
      <c r="L360" s="662">
        <v>219798239.34999996</v>
      </c>
      <c r="M360" s="663">
        <v>0.01384444232257045</v>
      </c>
      <c r="N360" s="663">
        <v>0.9977965966537873</v>
      </c>
      <c r="O360" s="662">
        <v>-485373.65000003576</v>
      </c>
      <c r="P360" s="724">
        <v>-0.002203403346212756</v>
      </c>
    </row>
    <row r="361" spans="2:16" ht="18.75" customHeight="1">
      <c r="B361" s="664" t="s">
        <v>24</v>
      </c>
      <c r="C361" s="659">
        <v>45050000</v>
      </c>
      <c r="D361" s="659">
        <v>88864077.41999999</v>
      </c>
      <c r="E361" s="660">
        <v>0.005610692487044274</v>
      </c>
      <c r="F361" s="660">
        <v>1.972565536514983</v>
      </c>
      <c r="G361" s="659">
        <v>43814077.41999999</v>
      </c>
      <c r="H361" s="807">
        <v>0.972565536514983</v>
      </c>
      <c r="I361" s="831"/>
      <c r="J361" s="666"/>
      <c r="K361" s="662"/>
      <c r="L361" s="662"/>
      <c r="M361" s="663"/>
      <c r="N361" s="663" t="s">
        <v>590</v>
      </c>
      <c r="O361" s="662"/>
      <c r="P361" s="724"/>
    </row>
    <row r="362" spans="2:16" ht="18.75" customHeight="1">
      <c r="B362" s="664"/>
      <c r="C362" s="659"/>
      <c r="D362" s="659"/>
      <c r="E362" s="660"/>
      <c r="F362" s="644"/>
      <c r="G362" s="659"/>
      <c r="H362" s="650"/>
      <c r="I362" s="926"/>
      <c r="J362" s="666" t="s">
        <v>25</v>
      </c>
      <c r="K362" s="656">
        <v>0</v>
      </c>
      <c r="L362" s="656">
        <v>0</v>
      </c>
      <c r="M362" s="657">
        <v>0</v>
      </c>
      <c r="N362" s="657"/>
      <c r="O362" s="656">
        <v>0</v>
      </c>
      <c r="P362" s="724"/>
    </row>
    <row r="363" spans="2:16" ht="18.75" customHeight="1">
      <c r="B363" s="661"/>
      <c r="C363" s="808"/>
      <c r="D363" s="808"/>
      <c r="E363" s="660"/>
      <c r="F363" s="644"/>
      <c r="G363" s="808"/>
      <c r="H363" s="650"/>
      <c r="I363" s="926"/>
      <c r="J363" s="665" t="s">
        <v>26</v>
      </c>
      <c r="K363" s="662">
        <v>0</v>
      </c>
      <c r="L363" s="662">
        <v>0</v>
      </c>
      <c r="M363" s="663">
        <v>0</v>
      </c>
      <c r="N363" s="663"/>
      <c r="O363" s="662">
        <v>0</v>
      </c>
      <c r="P363" s="724"/>
    </row>
    <row r="364" spans="2:16" ht="18.75" customHeight="1">
      <c r="B364" s="664" t="s">
        <v>196</v>
      </c>
      <c r="C364" s="659">
        <v>232002172</v>
      </c>
      <c r="D364" s="659">
        <v>212735891.33</v>
      </c>
      <c r="E364" s="660">
        <v>0.013431700433557467</v>
      </c>
      <c r="F364" s="660">
        <v>0.9169564642265505</v>
      </c>
      <c r="G364" s="659">
        <v>-19266280.669999987</v>
      </c>
      <c r="H364" s="807">
        <v>-0.08304353577344951</v>
      </c>
      <c r="I364" s="831"/>
      <c r="J364" s="665" t="s">
        <v>28</v>
      </c>
      <c r="K364" s="662">
        <v>0</v>
      </c>
      <c r="L364" s="662">
        <v>0</v>
      </c>
      <c r="M364" s="663">
        <v>0</v>
      </c>
      <c r="N364" s="663"/>
      <c r="O364" s="662">
        <v>0</v>
      </c>
      <c r="P364" s="724"/>
    </row>
    <row r="365" spans="2:16" ht="18.75" customHeight="1">
      <c r="B365" s="661"/>
      <c r="C365" s="648"/>
      <c r="D365" s="648"/>
      <c r="E365" s="644"/>
      <c r="F365" s="644"/>
      <c r="G365" s="648"/>
      <c r="H365" s="650"/>
      <c r="I365" s="926"/>
      <c r="J365" s="661"/>
      <c r="K365" s="662"/>
      <c r="L365" s="662"/>
      <c r="M365" s="663"/>
      <c r="N365" s="663"/>
      <c r="O365" s="662"/>
      <c r="P365" s="724"/>
    </row>
    <row r="366" spans="2:16" ht="18.75" customHeight="1">
      <c r="B366" s="664" t="s">
        <v>198</v>
      </c>
      <c r="C366" s="659">
        <v>3448109</v>
      </c>
      <c r="D366" s="659">
        <v>74590978.15</v>
      </c>
      <c r="E366" s="660">
        <v>0.004709518771342112</v>
      </c>
      <c r="F366" s="660">
        <v>21.632430456809807</v>
      </c>
      <c r="G366" s="659">
        <v>71142869.15</v>
      </c>
      <c r="H366" s="807">
        <v>20.632430456809807</v>
      </c>
      <c r="I366" s="831"/>
      <c r="J366" s="667" t="s">
        <v>177</v>
      </c>
      <c r="K366" s="656">
        <v>10830596231</v>
      </c>
      <c r="L366" s="656">
        <v>10810850687.18</v>
      </c>
      <c r="M366" s="657">
        <v>0.6809435746127811</v>
      </c>
      <c r="N366" s="657">
        <v>0.9981768737935699</v>
      </c>
      <c r="O366" s="656">
        <v>-19745543.819999695</v>
      </c>
      <c r="P366" s="658">
        <v>-0.0018231262064301486</v>
      </c>
    </row>
    <row r="367" spans="2:16" ht="18.75" customHeight="1">
      <c r="B367" s="664"/>
      <c r="C367" s="648"/>
      <c r="D367" s="648"/>
      <c r="E367" s="644"/>
      <c r="F367" s="644"/>
      <c r="G367" s="648"/>
      <c r="H367" s="650"/>
      <c r="I367" s="926"/>
      <c r="J367" s="665" t="s">
        <v>29</v>
      </c>
      <c r="K367" s="662">
        <v>955773651</v>
      </c>
      <c r="L367" s="662">
        <v>949456131.6899999</v>
      </c>
      <c r="M367" s="663">
        <v>0.059803439244396565</v>
      </c>
      <c r="N367" s="663">
        <v>0.9933901512106028</v>
      </c>
      <c r="O367" s="662">
        <v>-6317519.310000062</v>
      </c>
      <c r="P367" s="724">
        <v>-0.006609848789397169</v>
      </c>
    </row>
    <row r="368" spans="2:16" ht="18.75" customHeight="1">
      <c r="B368" s="664" t="s">
        <v>486</v>
      </c>
      <c r="C368" s="659">
        <v>0</v>
      </c>
      <c r="D368" s="659">
        <v>0</v>
      </c>
      <c r="E368" s="660">
        <v>0</v>
      </c>
      <c r="F368" s="660"/>
      <c r="G368" s="659">
        <v>0</v>
      </c>
      <c r="H368" s="807"/>
      <c r="I368" s="926"/>
      <c r="J368" s="665" t="s">
        <v>26</v>
      </c>
      <c r="K368" s="662">
        <v>8251082429</v>
      </c>
      <c r="L368" s="662">
        <v>8240737258.420001</v>
      </c>
      <c r="M368" s="663">
        <v>0.5190597158878154</v>
      </c>
      <c r="N368" s="663">
        <v>0.9987462044320828</v>
      </c>
      <c r="O368" s="662">
        <v>-10345170.57999897</v>
      </c>
      <c r="P368" s="724">
        <v>-0.0012537955679171133</v>
      </c>
    </row>
    <row r="369" spans="2:16" ht="18.75" customHeight="1">
      <c r="B369" s="664" t="s">
        <v>245</v>
      </c>
      <c r="C369" s="659">
        <v>258199939</v>
      </c>
      <c r="D369" s="659">
        <v>258199939</v>
      </c>
      <c r="E369" s="660">
        <v>0.016302205570150285</v>
      </c>
      <c r="F369" s="660">
        <v>1</v>
      </c>
      <c r="G369" s="659">
        <v>0</v>
      </c>
      <c r="H369" s="807">
        <v>0</v>
      </c>
      <c r="I369" s="926"/>
      <c r="J369" s="665" t="s">
        <v>28</v>
      </c>
      <c r="K369" s="662">
        <v>1623740151</v>
      </c>
      <c r="L369" s="662">
        <v>1620657297.0700002</v>
      </c>
      <c r="M369" s="663">
        <v>0.10208041948056916</v>
      </c>
      <c r="N369" s="663">
        <v>0.9981013871412238</v>
      </c>
      <c r="O369" s="662">
        <v>-3082853.9299998283</v>
      </c>
      <c r="P369" s="724">
        <v>-0.001898612858776212</v>
      </c>
    </row>
    <row r="370" spans="2:16" ht="18.75" customHeight="1">
      <c r="B370" s="664" t="s">
        <v>1013</v>
      </c>
      <c r="C370" s="659">
        <v>2529999</v>
      </c>
      <c r="D370" s="659">
        <v>2529999</v>
      </c>
      <c r="E370" s="660">
        <v>0.00015973885954432643</v>
      </c>
      <c r="F370" s="660">
        <v>1</v>
      </c>
      <c r="G370" s="659">
        <v>0</v>
      </c>
      <c r="H370" s="807">
        <v>0</v>
      </c>
      <c r="I370" s="831"/>
      <c r="J370" s="661"/>
      <c r="K370" s="662"/>
      <c r="L370" s="662"/>
      <c r="M370" s="663"/>
      <c r="N370" s="663"/>
      <c r="O370" s="662"/>
      <c r="P370" s="724"/>
    </row>
    <row r="371" spans="2:16" ht="18.75" customHeight="1">
      <c r="B371" s="666"/>
      <c r="C371" s="648"/>
      <c r="D371" s="648"/>
      <c r="E371" s="644"/>
      <c r="F371" s="644"/>
      <c r="G371" s="648"/>
      <c r="H371" s="650"/>
      <c r="I371" s="926"/>
      <c r="J371" s="667" t="s">
        <v>512</v>
      </c>
      <c r="K371" s="662">
        <v>634596</v>
      </c>
      <c r="L371" s="662">
        <v>370823.73</v>
      </c>
      <c r="M371" s="663">
        <v>2.3357092199680708E-05</v>
      </c>
      <c r="N371" s="663">
        <v>0.5843461509369741</v>
      </c>
      <c r="O371" s="662">
        <v>-263772.27</v>
      </c>
      <c r="P371" s="724">
        <v>-0.41565384906302594</v>
      </c>
    </row>
    <row r="372" spans="2:19" ht="18.75" customHeight="1">
      <c r="B372" s="664" t="s">
        <v>1198</v>
      </c>
      <c r="C372" s="659">
        <v>117796178</v>
      </c>
      <c r="D372" s="659">
        <v>117796178</v>
      </c>
      <c r="E372" s="660">
        <v>0.0074374049683025465</v>
      </c>
      <c r="F372" s="660">
        <v>1</v>
      </c>
      <c r="G372" s="659">
        <v>0</v>
      </c>
      <c r="H372" s="807">
        <v>0</v>
      </c>
      <c r="I372" s="831"/>
      <c r="J372" s="661"/>
      <c r="K372" s="662"/>
      <c r="L372" s="662"/>
      <c r="M372" s="663"/>
      <c r="N372" s="663"/>
      <c r="O372" s="662"/>
      <c r="P372" s="724"/>
      <c r="Q372" s="603"/>
      <c r="S372" s="603"/>
    </row>
    <row r="373" spans="2:19" ht="18.75" customHeight="1">
      <c r="B373" s="665" t="s">
        <v>1439</v>
      </c>
      <c r="C373" s="648">
        <v>115075000</v>
      </c>
      <c r="D373" s="648">
        <v>115075000</v>
      </c>
      <c r="E373" s="644">
        <v>0.0072655954654777975</v>
      </c>
      <c r="F373" s="644">
        <v>1</v>
      </c>
      <c r="G373" s="648">
        <v>0</v>
      </c>
      <c r="H373" s="650">
        <v>0</v>
      </c>
      <c r="I373" s="926"/>
      <c r="J373" s="667" t="s">
        <v>307</v>
      </c>
      <c r="K373" s="656">
        <v>1315395</v>
      </c>
      <c r="L373" s="656">
        <v>1240247.59</v>
      </c>
      <c r="M373" s="657">
        <v>7.811953487998677E-05</v>
      </c>
      <c r="N373" s="657">
        <v>0.9428708410781551</v>
      </c>
      <c r="O373" s="656">
        <v>-75147.41000000015</v>
      </c>
      <c r="P373" s="658">
        <v>-0.057129158921844884</v>
      </c>
      <c r="Q373" s="603"/>
      <c r="S373" s="603"/>
    </row>
    <row r="374" spans="2:19" ht="18.75" customHeight="1">
      <c r="B374" s="665" t="s">
        <v>1316</v>
      </c>
      <c r="C374" s="648">
        <v>975000</v>
      </c>
      <c r="D374" s="648">
        <v>975000</v>
      </c>
      <c r="E374" s="644">
        <v>6.155946625106107E-05</v>
      </c>
      <c r="F374" s="644">
        <v>1</v>
      </c>
      <c r="G374" s="648">
        <v>0</v>
      </c>
      <c r="H374" s="650">
        <v>0</v>
      </c>
      <c r="I374" s="926"/>
      <c r="J374" s="665" t="s">
        <v>29</v>
      </c>
      <c r="K374" s="662">
        <v>21066</v>
      </c>
      <c r="L374" s="662">
        <v>16498.93</v>
      </c>
      <c r="M374" s="663">
        <v>1.0392189011368771E-06</v>
      </c>
      <c r="N374" s="663">
        <v>0.7832018418304377</v>
      </c>
      <c r="O374" s="662">
        <v>-4567.07</v>
      </c>
      <c r="P374" s="724">
        <v>-0.21679815816956233</v>
      </c>
      <c r="Q374" s="603"/>
      <c r="S374" s="603"/>
    </row>
    <row r="375" spans="2:19" ht="18.75" customHeight="1">
      <c r="B375" s="661" t="s">
        <v>487</v>
      </c>
      <c r="C375" s="648">
        <v>1746178</v>
      </c>
      <c r="D375" s="648">
        <v>1746178</v>
      </c>
      <c r="E375" s="644">
        <v>0.00011025003657368749</v>
      </c>
      <c r="F375" s="644">
        <v>1</v>
      </c>
      <c r="G375" s="648">
        <v>0</v>
      </c>
      <c r="H375" s="650">
        <v>0</v>
      </c>
      <c r="I375" s="926"/>
      <c r="J375" s="665" t="s">
        <v>26</v>
      </c>
      <c r="K375" s="662">
        <v>1281829</v>
      </c>
      <c r="L375" s="662">
        <v>1213449.7</v>
      </c>
      <c r="M375" s="663">
        <v>7.643161488768503E-05</v>
      </c>
      <c r="N375" s="663">
        <v>0.9466548970260463</v>
      </c>
      <c r="O375" s="662">
        <v>-68379.3</v>
      </c>
      <c r="P375" s="724">
        <v>-0.05334510297395366</v>
      </c>
      <c r="Q375" s="603"/>
      <c r="S375" s="603"/>
    </row>
    <row r="376" spans="2:19" ht="18.75" customHeight="1">
      <c r="B376" s="664" t="s">
        <v>1403</v>
      </c>
      <c r="C376" s="659">
        <v>1345341607</v>
      </c>
      <c r="D376" s="659">
        <v>1150724321.96</v>
      </c>
      <c r="E376" s="660">
        <v>0.07265433339689412</v>
      </c>
      <c r="F376" s="660">
        <v>0.8553398749972653</v>
      </c>
      <c r="G376" s="659">
        <v>-194617285.03999996</v>
      </c>
      <c r="H376" s="807">
        <v>-0.14466012500273467</v>
      </c>
      <c r="I376" s="831"/>
      <c r="J376" s="665" t="s">
        <v>28</v>
      </c>
      <c r="K376" s="662">
        <v>12500</v>
      </c>
      <c r="L376" s="662">
        <v>10298.96</v>
      </c>
      <c r="M376" s="663">
        <v>6.487010911648604E-07</v>
      </c>
      <c r="N376" s="663"/>
      <c r="O376" s="662">
        <v>-2201.04</v>
      </c>
      <c r="P376" s="724"/>
      <c r="Q376" s="603"/>
      <c r="S376" s="603"/>
    </row>
    <row r="377" spans="2:19" ht="18.75" customHeight="1">
      <c r="B377" s="665" t="s">
        <v>1405</v>
      </c>
      <c r="C377" s="648">
        <v>1345341607</v>
      </c>
      <c r="D377" s="648">
        <v>1150724321.96</v>
      </c>
      <c r="E377" s="644">
        <v>0.07265433339689412</v>
      </c>
      <c r="F377" s="644">
        <v>0.8553398749972653</v>
      </c>
      <c r="G377" s="648">
        <v>-194617285.03999996</v>
      </c>
      <c r="H377" s="650">
        <v>-0.14466012500273467</v>
      </c>
      <c r="I377" s="926"/>
      <c r="J377" s="661"/>
      <c r="K377" s="662"/>
      <c r="L377" s="662"/>
      <c r="M377" s="663"/>
      <c r="N377" s="663"/>
      <c r="O377" s="662"/>
      <c r="P377" s="724"/>
      <c r="Q377" s="603"/>
      <c r="S377" s="603"/>
    </row>
    <row r="378" spans="2:19" ht="18.75" customHeight="1">
      <c r="B378" s="661"/>
      <c r="C378" s="648"/>
      <c r="D378" s="648"/>
      <c r="E378" s="644"/>
      <c r="F378" s="660"/>
      <c r="G378" s="648"/>
      <c r="H378" s="807"/>
      <c r="I378" s="831"/>
      <c r="J378" s="655" t="s">
        <v>249</v>
      </c>
      <c r="K378" s="656">
        <v>16586000</v>
      </c>
      <c r="L378" s="656">
        <v>16091641.17</v>
      </c>
      <c r="M378" s="663">
        <v>0.001013564979921506</v>
      </c>
      <c r="N378" s="663">
        <v>0.9701942101772579</v>
      </c>
      <c r="O378" s="662">
        <v>-494358.83</v>
      </c>
      <c r="P378" s="724">
        <v>-0.029805789822742075</v>
      </c>
      <c r="Q378" s="603"/>
      <c r="S378" s="603"/>
    </row>
    <row r="379" spans="2:19" ht="18.75" customHeight="1">
      <c r="B379" s="664" t="s">
        <v>243</v>
      </c>
      <c r="C379" s="659">
        <v>16751000</v>
      </c>
      <c r="D379" s="659">
        <v>16246361.8</v>
      </c>
      <c r="E379" s="644">
        <v>0.0010257613958252593</v>
      </c>
      <c r="F379" s="644">
        <v>0.9698741448271745</v>
      </c>
      <c r="G379" s="648">
        <v>-504638.19999999925</v>
      </c>
      <c r="H379" s="650">
        <v>-0.03012585517282546</v>
      </c>
      <c r="I379" s="926"/>
      <c r="J379" s="922" t="s">
        <v>177</v>
      </c>
      <c r="K379" s="662">
        <v>16585000</v>
      </c>
      <c r="L379" s="662">
        <v>16091641.17</v>
      </c>
      <c r="M379" s="663">
        <v>0.001013564979921506</v>
      </c>
      <c r="N379" s="663">
        <v>0.9702527084715104</v>
      </c>
      <c r="O379" s="662">
        <v>-493358.83</v>
      </c>
      <c r="P379" s="724">
        <v>-0.029747291528489605</v>
      </c>
      <c r="Q379" s="603"/>
      <c r="S379" s="603"/>
    </row>
    <row r="380" spans="2:19" ht="18.75" customHeight="1">
      <c r="B380" s="664" t="s">
        <v>1456</v>
      </c>
      <c r="C380" s="648">
        <v>718033</v>
      </c>
      <c r="D380" s="648">
        <v>210.92999999999302</v>
      </c>
      <c r="E380" s="644">
        <v>1.3317680221882955E-08</v>
      </c>
      <c r="F380" s="644">
        <v>0.0002937608717148</v>
      </c>
      <c r="G380" s="648">
        <v>-717822.07</v>
      </c>
      <c r="H380" s="650">
        <v>-0.9997062391282853</v>
      </c>
      <c r="I380" s="831"/>
      <c r="J380" s="923" t="s">
        <v>29</v>
      </c>
      <c r="K380" s="662">
        <v>5450000</v>
      </c>
      <c r="L380" s="662">
        <v>5286214.73</v>
      </c>
      <c r="M380" s="663">
        <v>0.00033296306262795065</v>
      </c>
      <c r="N380" s="663">
        <v>0.969947656880734</v>
      </c>
      <c r="O380" s="662">
        <v>-163785.27</v>
      </c>
      <c r="P380" s="724">
        <v>-0.030052343119265974</v>
      </c>
      <c r="Q380" s="603"/>
      <c r="S380" s="603"/>
    </row>
    <row r="381" spans="2:19" ht="18.75" customHeight="1">
      <c r="B381" s="664" t="s">
        <v>1256</v>
      </c>
      <c r="C381" s="648">
        <v>11975000</v>
      </c>
      <c r="D381" s="648">
        <v>5541790.45</v>
      </c>
      <c r="E381" s="644">
        <v>0.00034989708941254107</v>
      </c>
      <c r="F381" s="644">
        <v>0.4627799958246347</v>
      </c>
      <c r="G381" s="648">
        <v>-6433209.55</v>
      </c>
      <c r="H381" s="650">
        <v>-0.5372200041753653</v>
      </c>
      <c r="I381" s="926"/>
      <c r="J381" s="923" t="s">
        <v>26</v>
      </c>
      <c r="K381" s="662">
        <v>9235000</v>
      </c>
      <c r="L381" s="662">
        <v>8949622.75</v>
      </c>
      <c r="M381" s="663">
        <v>0.0005637103205992507</v>
      </c>
      <c r="N381" s="663">
        <v>0.969098294531673</v>
      </c>
      <c r="O381" s="662">
        <v>-285377.25</v>
      </c>
      <c r="P381" s="724">
        <v>-0.030901705468327018</v>
      </c>
      <c r="Q381" s="603"/>
      <c r="S381" s="603"/>
    </row>
    <row r="382" spans="2:19" ht="18.75" customHeight="1">
      <c r="B382" s="664" t="s">
        <v>1440</v>
      </c>
      <c r="C382" s="648">
        <v>4250000</v>
      </c>
      <c r="D382" s="648">
        <v>1803403.6</v>
      </c>
      <c r="E382" s="644">
        <v>0.00011386314159101748</v>
      </c>
      <c r="F382" s="644">
        <v>0.4243302588235294</v>
      </c>
      <c r="G382" s="648">
        <v>-2446596.4</v>
      </c>
      <c r="H382" s="650">
        <v>-0.5756697411764705</v>
      </c>
      <c r="I382" s="926"/>
      <c r="J382" s="923" t="s">
        <v>28</v>
      </c>
      <c r="K382" s="662">
        <v>1900000</v>
      </c>
      <c r="L382" s="662">
        <v>1855803.69</v>
      </c>
      <c r="M382" s="663">
        <v>0.00011689159669430452</v>
      </c>
      <c r="N382" s="663">
        <v>0.9767387842105263</v>
      </c>
      <c r="O382" s="662">
        <v>-44196.310000000056</v>
      </c>
      <c r="P382" s="724">
        <v>-0.023261215789473714</v>
      </c>
      <c r="Q382" s="698"/>
      <c r="S382" s="603"/>
    </row>
    <row r="383" spans="2:19" ht="18.75" customHeight="1">
      <c r="B383" s="664"/>
      <c r="C383" s="648"/>
      <c r="D383" s="648"/>
      <c r="E383" s="644"/>
      <c r="F383" s="644"/>
      <c r="G383" s="648"/>
      <c r="H383" s="650"/>
      <c r="I383" s="926"/>
      <c r="J383" s="924" t="s">
        <v>23</v>
      </c>
      <c r="K383" s="662">
        <v>1000</v>
      </c>
      <c r="L383" s="662">
        <v>0</v>
      </c>
      <c r="M383" s="663">
        <v>0</v>
      </c>
      <c r="N383" s="663">
        <v>0</v>
      </c>
      <c r="O383" s="662">
        <v>-1000</v>
      </c>
      <c r="P383" s="724">
        <v>-1</v>
      </c>
      <c r="Q383" s="603"/>
      <c r="S383" s="603"/>
    </row>
    <row r="384" spans="2:19" ht="18.75" customHeight="1">
      <c r="B384" s="664"/>
      <c r="C384" s="648"/>
      <c r="D384" s="648"/>
      <c r="E384" s="644"/>
      <c r="F384" s="644"/>
      <c r="G384" s="648"/>
      <c r="H384" s="650"/>
      <c r="I384" s="926"/>
      <c r="J384" s="661"/>
      <c r="K384" s="662"/>
      <c r="L384" s="662"/>
      <c r="M384" s="663"/>
      <c r="N384" s="663"/>
      <c r="O384" s="662"/>
      <c r="P384" s="724"/>
      <c r="Q384" s="603"/>
      <c r="S384" s="603"/>
    </row>
    <row r="385" spans="2:19" ht="18.75" customHeight="1">
      <c r="B385" s="664" t="s">
        <v>1340</v>
      </c>
      <c r="C385" s="648">
        <v>5530000</v>
      </c>
      <c r="D385" s="648">
        <v>10268202.59</v>
      </c>
      <c r="E385" s="644">
        <v>0.0006483128931263209</v>
      </c>
      <c r="F385" s="644">
        <v>1.856817828209765</v>
      </c>
      <c r="G385" s="648">
        <v>4738202.59</v>
      </c>
      <c r="H385" s="650">
        <v>0.8568178282097649</v>
      </c>
      <c r="I385" s="926"/>
      <c r="J385" s="666" t="s">
        <v>233</v>
      </c>
      <c r="K385" s="662">
        <v>4953120</v>
      </c>
      <c r="L385" s="662">
        <v>4571944.02</v>
      </c>
      <c r="M385" s="663">
        <v>0.00028797325890368144</v>
      </c>
      <c r="N385" s="663">
        <v>0.9230432575830992</v>
      </c>
      <c r="O385" s="662">
        <v>-381175.98</v>
      </c>
      <c r="P385" s="724">
        <v>-0.07695674241690076</v>
      </c>
      <c r="Q385" s="603"/>
      <c r="S385" s="603"/>
    </row>
    <row r="386" spans="2:19" ht="18.75" customHeight="1">
      <c r="B386" s="729" t="s">
        <v>1417</v>
      </c>
      <c r="C386" s="648">
        <v>30000</v>
      </c>
      <c r="D386" s="648">
        <v>23478.95</v>
      </c>
      <c r="E386" s="644">
        <v>1.4824119283439492E-06</v>
      </c>
      <c r="F386" s="644">
        <v>0.7826316666666667</v>
      </c>
      <c r="G386" s="648">
        <v>-6521.05</v>
      </c>
      <c r="H386" s="650">
        <v>-0.2173683333333333</v>
      </c>
      <c r="I386" s="926"/>
      <c r="J386" s="666"/>
      <c r="K386" s="662"/>
      <c r="L386" s="662"/>
      <c r="M386" s="663"/>
      <c r="N386" s="663" t="s">
        <v>590</v>
      </c>
      <c r="O386" s="662"/>
      <c r="P386" s="724"/>
      <c r="Q386" s="603"/>
      <c r="S386" s="603"/>
    </row>
    <row r="387" spans="2:19" ht="18.75" customHeight="1">
      <c r="B387" s="664"/>
      <c r="C387" s="648"/>
      <c r="D387" s="648"/>
      <c r="E387" s="644"/>
      <c r="F387" s="644"/>
      <c r="G387" s="648"/>
      <c r="H387" s="650"/>
      <c r="I387" s="926"/>
      <c r="J387" s="666" t="s">
        <v>1490</v>
      </c>
      <c r="K387" s="662">
        <v>5179780</v>
      </c>
      <c r="L387" s="662">
        <v>2922750.8</v>
      </c>
      <c r="M387" s="663">
        <v>0.000184095445866667</v>
      </c>
      <c r="N387" s="663">
        <v>0.5642615709547509</v>
      </c>
      <c r="O387" s="662">
        <v>-2257029.2</v>
      </c>
      <c r="P387" s="724">
        <v>-0.43573842904524906</v>
      </c>
      <c r="Q387" s="603"/>
      <c r="S387" s="603"/>
    </row>
    <row r="388" spans="2:22" ht="18.75" customHeight="1">
      <c r="B388" s="729" t="s">
        <v>1322</v>
      </c>
      <c r="C388" s="648">
        <v>153000</v>
      </c>
      <c r="D388" s="648">
        <v>367819.93</v>
      </c>
      <c r="E388" s="644">
        <v>2.322338314595143E-05</v>
      </c>
      <c r="F388" s="644">
        <v>2.4040518300653595</v>
      </c>
      <c r="G388" s="648">
        <v>214819.93</v>
      </c>
      <c r="H388" s="650">
        <v>1.4040518300653595</v>
      </c>
      <c r="I388" s="926"/>
      <c r="J388" s="666"/>
      <c r="K388" s="662"/>
      <c r="L388" s="662"/>
      <c r="M388" s="663"/>
      <c r="N388" s="663"/>
      <c r="O388" s="662"/>
      <c r="P388" s="724"/>
      <c r="Q388" s="603"/>
      <c r="S388" s="603"/>
      <c r="V388" s="809"/>
    </row>
    <row r="389" spans="2:19" ht="18.75" customHeight="1">
      <c r="B389" s="729" t="s">
        <v>948</v>
      </c>
      <c r="C389" s="648">
        <v>534000</v>
      </c>
      <c r="D389" s="648">
        <v>1508128.26</v>
      </c>
      <c r="E389" s="644">
        <v>9.522007253717073E-05</v>
      </c>
      <c r="F389" s="644">
        <v>2.824210224719101</v>
      </c>
      <c r="G389" s="648">
        <v>974128.26</v>
      </c>
      <c r="H389" s="650">
        <v>1.8242102247191012</v>
      </c>
      <c r="I389" s="926"/>
      <c r="J389" s="655" t="s">
        <v>1112</v>
      </c>
      <c r="K389" s="656">
        <v>117613395</v>
      </c>
      <c r="L389" s="656">
        <v>117392759.26000002</v>
      </c>
      <c r="M389" s="657">
        <v>0.007394223399917642</v>
      </c>
      <c r="N389" s="657">
        <v>0.9981240594236738</v>
      </c>
      <c r="O389" s="656">
        <v>-220635.73999997973</v>
      </c>
      <c r="P389" s="658">
        <v>-0.0018759405763261892</v>
      </c>
      <c r="Q389" s="603"/>
      <c r="S389" s="603"/>
    </row>
    <row r="390" spans="2:16" ht="18.75" customHeight="1">
      <c r="B390" s="664"/>
      <c r="C390" s="648"/>
      <c r="D390" s="648"/>
      <c r="E390" s="644"/>
      <c r="F390" s="644"/>
      <c r="G390" s="648"/>
      <c r="H390" s="650"/>
      <c r="I390" s="926"/>
      <c r="J390" s="661"/>
      <c r="K390" s="670"/>
      <c r="L390" s="670"/>
      <c r="M390" s="663"/>
      <c r="N390" s="663" t="s">
        <v>590</v>
      </c>
      <c r="O390" s="670"/>
      <c r="P390" s="724"/>
    </row>
    <row r="391" spans="2:16" ht="18.75" customHeight="1">
      <c r="B391" s="664" t="s">
        <v>246</v>
      </c>
      <c r="C391" s="648">
        <v>0</v>
      </c>
      <c r="D391" s="648">
        <v>0</v>
      </c>
      <c r="E391" s="644">
        <v>0</v>
      </c>
      <c r="F391" s="644"/>
      <c r="G391" s="648">
        <v>0</v>
      </c>
      <c r="H391" s="650"/>
      <c r="I391" s="926"/>
      <c r="J391" s="665" t="s">
        <v>1402</v>
      </c>
      <c r="K391" s="662">
        <v>4000000</v>
      </c>
      <c r="L391" s="662">
        <v>3989771.04</v>
      </c>
      <c r="M391" s="663">
        <v>0.00025130390128187317</v>
      </c>
      <c r="N391" s="663">
        <v>0.99744276</v>
      </c>
      <c r="O391" s="662">
        <v>-10228.96</v>
      </c>
      <c r="P391" s="724">
        <v>-0.0025572399999999906</v>
      </c>
    </row>
    <row r="392" spans="2:16" ht="18.75" customHeight="1">
      <c r="B392" s="664"/>
      <c r="C392" s="648"/>
      <c r="D392" s="648"/>
      <c r="E392" s="644"/>
      <c r="F392" s="644"/>
      <c r="G392" s="648"/>
      <c r="H392" s="650"/>
      <c r="I392" s="926"/>
      <c r="J392" s="665" t="s">
        <v>1404</v>
      </c>
      <c r="K392" s="662">
        <v>112500000</v>
      </c>
      <c r="L392" s="662">
        <v>112490599.54</v>
      </c>
      <c r="M392" s="663">
        <v>0.007085450828762065</v>
      </c>
      <c r="N392" s="663">
        <v>0.9999164403555556</v>
      </c>
      <c r="O392" s="662">
        <v>-9400.459999993443</v>
      </c>
      <c r="P392" s="724">
        <v>-8.355964444438617E-05</v>
      </c>
    </row>
    <row r="393" spans="2:16" ht="18.75" customHeight="1">
      <c r="B393" s="664" t="s">
        <v>1149</v>
      </c>
      <c r="C393" s="648">
        <v>0</v>
      </c>
      <c r="D393" s="648">
        <v>0</v>
      </c>
      <c r="E393" s="644">
        <v>0</v>
      </c>
      <c r="F393" s="644"/>
      <c r="G393" s="648">
        <v>0</v>
      </c>
      <c r="H393" s="650"/>
      <c r="I393" s="926"/>
      <c r="J393" s="665" t="s">
        <v>194</v>
      </c>
      <c r="K393" s="662">
        <v>735903</v>
      </c>
      <c r="L393" s="662">
        <v>564896.2</v>
      </c>
      <c r="M393" s="663">
        <v>3.5581144245135744E-05</v>
      </c>
      <c r="N393" s="663">
        <v>0.7676231785982662</v>
      </c>
      <c r="O393" s="662">
        <v>-171006.8</v>
      </c>
      <c r="P393" s="724">
        <v>-0.2323768214017337</v>
      </c>
    </row>
    <row r="394" spans="2:16" ht="18.75" customHeight="1">
      <c r="B394" s="664"/>
      <c r="C394" s="648"/>
      <c r="D394" s="648"/>
      <c r="E394" s="644"/>
      <c r="F394" s="644"/>
      <c r="G394" s="648"/>
      <c r="H394" s="650"/>
      <c r="I394" s="926"/>
      <c r="J394" s="665" t="s">
        <v>250</v>
      </c>
      <c r="K394" s="662">
        <v>29999</v>
      </c>
      <c r="L394" s="662">
        <v>0</v>
      </c>
      <c r="M394" s="663">
        <v>0</v>
      </c>
      <c r="N394" s="663"/>
      <c r="O394" s="662">
        <v>-29999</v>
      </c>
      <c r="P394" s="724"/>
    </row>
    <row r="395" spans="2:16" ht="18.75" customHeight="1">
      <c r="B395" s="921" t="s">
        <v>636</v>
      </c>
      <c r="C395" s="648">
        <v>500000</v>
      </c>
      <c r="D395" s="648">
        <v>651879.48</v>
      </c>
      <c r="E395" s="644">
        <v>0</v>
      </c>
      <c r="F395" s="644"/>
      <c r="G395" s="648">
        <v>151879.48</v>
      </c>
      <c r="H395" s="650"/>
      <c r="I395" s="926"/>
      <c r="J395" s="665" t="s">
        <v>1018</v>
      </c>
      <c r="K395" s="662">
        <v>347493</v>
      </c>
      <c r="L395" s="662">
        <v>347492.48</v>
      </c>
      <c r="M395" s="663">
        <v>2.1887525628566716E-05</v>
      </c>
      <c r="N395" s="663"/>
      <c r="O395" s="662">
        <v>-0.5200000000186265</v>
      </c>
      <c r="P395" s="724"/>
    </row>
    <row r="396" spans="2:16" ht="18.75" customHeight="1">
      <c r="B396" s="664"/>
      <c r="C396" s="648"/>
      <c r="D396" s="648"/>
      <c r="E396" s="644"/>
      <c r="F396" s="644"/>
      <c r="G396" s="648"/>
      <c r="H396" s="650"/>
      <c r="I396" s="926"/>
      <c r="J396" s="664" t="s">
        <v>190</v>
      </c>
      <c r="K396" s="656">
        <v>3000000</v>
      </c>
      <c r="L396" s="656">
        <v>1317879.36</v>
      </c>
      <c r="M396" s="657">
        <v>8.300933092813722E-05</v>
      </c>
      <c r="N396" s="657">
        <v>0.43929312000000004</v>
      </c>
      <c r="O396" s="656">
        <v>-1682120.64</v>
      </c>
      <c r="P396" s="658">
        <v>-0.56070688</v>
      </c>
    </row>
    <row r="397" spans="2:16" ht="18.75" customHeight="1">
      <c r="B397" s="757"/>
      <c r="C397" s="648"/>
      <c r="D397" s="648"/>
      <c r="E397" s="644">
        <v>0</v>
      </c>
      <c r="F397" s="644"/>
      <c r="G397" s="648">
        <v>0</v>
      </c>
      <c r="H397" s="650"/>
      <c r="I397" s="926"/>
      <c r="J397" s="664" t="s">
        <v>1334</v>
      </c>
      <c r="K397" s="656">
        <v>0</v>
      </c>
      <c r="L397" s="656">
        <v>0</v>
      </c>
      <c r="M397" s="657">
        <v>0</v>
      </c>
      <c r="N397" s="657"/>
      <c r="O397" s="656">
        <v>0</v>
      </c>
      <c r="P397" s="658"/>
    </row>
    <row r="398" spans="2:16" ht="18.75" customHeight="1">
      <c r="B398" s="664"/>
      <c r="C398" s="648"/>
      <c r="D398" s="648"/>
      <c r="E398" s="644"/>
      <c r="F398" s="644"/>
      <c r="G398" s="648"/>
      <c r="H398" s="650"/>
      <c r="I398" s="926"/>
      <c r="J398" s="671"/>
      <c r="K398" s="662"/>
      <c r="L398" s="662"/>
      <c r="M398" s="663"/>
      <c r="N398" s="663"/>
      <c r="O398" s="662"/>
      <c r="P398" s="724"/>
    </row>
    <row r="399" spans="2:16" ht="18.75" customHeight="1">
      <c r="B399" s="664"/>
      <c r="C399" s="648"/>
      <c r="D399" s="648"/>
      <c r="E399" s="644"/>
      <c r="F399" s="660"/>
      <c r="G399" s="648"/>
      <c r="H399" s="807"/>
      <c r="I399" s="831"/>
      <c r="J399" s="664" t="s">
        <v>279</v>
      </c>
      <c r="K399" s="656">
        <v>593403400</v>
      </c>
      <c r="L399" s="656">
        <v>545470232</v>
      </c>
      <c r="M399" s="657">
        <v>0.034357559860058645</v>
      </c>
      <c r="N399" s="657">
        <v>0.9192233007090961</v>
      </c>
      <c r="O399" s="656">
        <v>-47933168</v>
      </c>
      <c r="P399" s="658">
        <v>-0.08077669929090396</v>
      </c>
    </row>
    <row r="400" spans="2:16" ht="18.75" customHeight="1">
      <c r="B400" s="664"/>
      <c r="C400" s="648"/>
      <c r="D400" s="648"/>
      <c r="E400" s="644"/>
      <c r="F400" s="644"/>
      <c r="G400" s="648"/>
      <c r="H400" s="650"/>
      <c r="I400" s="926"/>
      <c r="J400" s="665" t="s">
        <v>1104</v>
      </c>
      <c r="K400" s="662">
        <v>535405153</v>
      </c>
      <c r="L400" s="662">
        <v>490788100</v>
      </c>
      <c r="M400" s="663">
        <v>0.030913293769538736</v>
      </c>
      <c r="N400" s="663">
        <v>0.9166667471353231</v>
      </c>
      <c r="O400" s="662">
        <v>-44617053</v>
      </c>
      <c r="P400" s="724">
        <v>-0.08333325286467685</v>
      </c>
    </row>
    <row r="401" spans="2:16" ht="18.75" customHeight="1">
      <c r="B401" s="664"/>
      <c r="C401" s="648"/>
      <c r="D401" s="648"/>
      <c r="E401" s="644"/>
      <c r="F401" s="644"/>
      <c r="G401" s="648"/>
      <c r="H401" s="650"/>
      <c r="I401" s="926"/>
      <c r="J401" s="665" t="s">
        <v>400</v>
      </c>
      <c r="K401" s="662">
        <v>26017241</v>
      </c>
      <c r="L401" s="662">
        <v>24880997</v>
      </c>
      <c r="M401" s="663">
        <v>0.001567180560286633</v>
      </c>
      <c r="N401" s="663">
        <v>0.9563272677529489</v>
      </c>
      <c r="O401" s="662">
        <v>-1136244</v>
      </c>
      <c r="P401" s="724">
        <v>-0.0436727322470511</v>
      </c>
    </row>
    <row r="402" spans="2:16" ht="18.75" customHeight="1">
      <c r="B402" s="664"/>
      <c r="C402" s="648"/>
      <c r="D402" s="648"/>
      <c r="E402" s="644"/>
      <c r="F402" s="660"/>
      <c r="G402" s="648"/>
      <c r="H402" s="807"/>
      <c r="I402" s="831"/>
      <c r="J402" s="665" t="s">
        <v>211</v>
      </c>
      <c r="K402" s="662">
        <v>3902586</v>
      </c>
      <c r="L402" s="662">
        <v>3436621</v>
      </c>
      <c r="M402" s="663">
        <v>0.00021646261298423084</v>
      </c>
      <c r="N402" s="663">
        <v>0.8806009656161324</v>
      </c>
      <c r="O402" s="662">
        <v>-465965</v>
      </c>
      <c r="P402" s="724">
        <v>-0.11939903438386752</v>
      </c>
    </row>
    <row r="403" spans="2:16" ht="18.75" customHeight="1">
      <c r="B403" s="664"/>
      <c r="C403" s="648"/>
      <c r="D403" s="648"/>
      <c r="E403" s="644"/>
      <c r="F403" s="644"/>
      <c r="G403" s="648"/>
      <c r="H403" s="650"/>
      <c r="I403" s="926"/>
      <c r="J403" s="665" t="s">
        <v>48</v>
      </c>
      <c r="K403" s="662">
        <v>5305172</v>
      </c>
      <c r="L403" s="662">
        <v>3966029</v>
      </c>
      <c r="M403" s="663">
        <v>0.0002498084602611798</v>
      </c>
      <c r="N403" s="663">
        <v>0.7475778353651871</v>
      </c>
      <c r="O403" s="662">
        <v>-1339143</v>
      </c>
      <c r="P403" s="724">
        <v>-0.252422164634813</v>
      </c>
    </row>
    <row r="404" spans="2:16" ht="18.75" customHeight="1">
      <c r="B404" s="661"/>
      <c r="C404" s="648"/>
      <c r="D404" s="648"/>
      <c r="E404" s="644"/>
      <c r="F404" s="644"/>
      <c r="G404" s="648"/>
      <c r="H404" s="650"/>
      <c r="I404" s="926"/>
      <c r="J404" s="665" t="s">
        <v>1199</v>
      </c>
      <c r="K404" s="662">
        <v>1300862</v>
      </c>
      <c r="L404" s="662">
        <v>926100</v>
      </c>
      <c r="M404" s="663">
        <v>5.833230544907227E-05</v>
      </c>
      <c r="N404" s="663">
        <v>0.7119125625931113</v>
      </c>
      <c r="O404" s="662">
        <v>-374762</v>
      </c>
      <c r="P404" s="724">
        <v>-0.28808743740688864</v>
      </c>
    </row>
    <row r="405" spans="2:16" ht="18.75" customHeight="1">
      <c r="B405" s="661"/>
      <c r="C405" s="648"/>
      <c r="D405" s="648"/>
      <c r="E405" s="644"/>
      <c r="F405" s="660"/>
      <c r="G405" s="648"/>
      <c r="H405" s="807"/>
      <c r="I405" s="831"/>
      <c r="J405" s="665" t="s">
        <v>1564</v>
      </c>
      <c r="K405" s="662">
        <v>21472386</v>
      </c>
      <c r="L405" s="662">
        <v>21472385</v>
      </c>
      <c r="M405" s="663">
        <v>0.0013524821515387944</v>
      </c>
      <c r="N405" s="663">
        <v>0.9999999534285571</v>
      </c>
      <c r="O405" s="662">
        <v>-1</v>
      </c>
      <c r="P405" s="724">
        <v>-4.657144296865751E-08</v>
      </c>
    </row>
    <row r="406" spans="2:16" ht="18.75" customHeight="1">
      <c r="B406" s="661"/>
      <c r="C406" s="648"/>
      <c r="D406" s="648"/>
      <c r="E406" s="644"/>
      <c r="F406" s="660"/>
      <c r="G406" s="648"/>
      <c r="H406" s="807"/>
      <c r="I406" s="831"/>
      <c r="J406" s="666"/>
      <c r="K406" s="656"/>
      <c r="L406" s="662"/>
      <c r="M406" s="663"/>
      <c r="N406" s="663"/>
      <c r="O406" s="662"/>
      <c r="P406" s="724"/>
    </row>
    <row r="407" spans="2:16" ht="18.75" customHeight="1">
      <c r="B407" s="661"/>
      <c r="C407" s="648"/>
      <c r="D407" s="648"/>
      <c r="E407" s="644"/>
      <c r="F407" s="660"/>
      <c r="G407" s="648"/>
      <c r="H407" s="807"/>
      <c r="I407" s="831"/>
      <c r="J407" s="664" t="s">
        <v>510</v>
      </c>
      <c r="K407" s="656">
        <v>1595192230.91</v>
      </c>
      <c r="L407" s="656">
        <v>1385791028.16</v>
      </c>
      <c r="M407" s="657">
        <v>0.0872868864520171</v>
      </c>
      <c r="N407" s="657">
        <v>0.86872980027583</v>
      </c>
      <c r="O407" s="656">
        <v>-209401202.75</v>
      </c>
      <c r="P407" s="658">
        <v>-0.13127019972416998</v>
      </c>
    </row>
    <row r="408" spans="2:17" ht="18.75" customHeight="1">
      <c r="B408" s="661"/>
      <c r="C408" s="648"/>
      <c r="D408" s="648"/>
      <c r="E408" s="644"/>
      <c r="F408" s="660"/>
      <c r="G408" s="648"/>
      <c r="H408" s="807"/>
      <c r="I408" s="831"/>
      <c r="J408" s="665" t="s">
        <v>1338</v>
      </c>
      <c r="K408" s="656">
        <v>1595192230.91</v>
      </c>
      <c r="L408" s="656">
        <v>1385791028.16</v>
      </c>
      <c r="M408" s="657">
        <v>0.0872868864520171</v>
      </c>
      <c r="N408" s="657">
        <v>0.86872980027583</v>
      </c>
      <c r="O408" s="656">
        <v>-209401202.75</v>
      </c>
      <c r="P408" s="658">
        <v>-0.13127019972416998</v>
      </c>
      <c r="Q408" s="603"/>
    </row>
    <row r="409" spans="2:17" ht="18.75" customHeight="1">
      <c r="B409" s="661"/>
      <c r="C409" s="648"/>
      <c r="D409" s="648"/>
      <c r="E409" s="644"/>
      <c r="F409" s="660"/>
      <c r="G409" s="648"/>
      <c r="H409" s="807"/>
      <c r="I409" s="831"/>
      <c r="J409" s="758" t="s">
        <v>1166</v>
      </c>
      <c r="K409" s="656">
        <v>1367853444</v>
      </c>
      <c r="L409" s="656">
        <v>1159523554.73</v>
      </c>
      <c r="M409" s="657">
        <v>0.07303496616985684</v>
      </c>
      <c r="N409" s="657">
        <v>0.8476957526525774</v>
      </c>
      <c r="O409" s="656">
        <v>-208329889.26999998</v>
      </c>
      <c r="P409" s="658">
        <v>-0.15230424734742268</v>
      </c>
      <c r="Q409" s="603"/>
    </row>
    <row r="410" spans="2:16" ht="18.75" customHeight="1">
      <c r="B410" s="661"/>
      <c r="C410" s="648"/>
      <c r="D410" s="648"/>
      <c r="E410" s="644"/>
      <c r="F410" s="660"/>
      <c r="G410" s="648"/>
      <c r="H410" s="807"/>
      <c r="I410" s="831"/>
      <c r="J410" s="758"/>
      <c r="K410" s="656"/>
      <c r="L410" s="656"/>
      <c r="M410" s="657"/>
      <c r="N410" s="657"/>
      <c r="O410" s="656"/>
      <c r="P410" s="658"/>
    </row>
    <row r="411" spans="2:16" ht="18.75" customHeight="1">
      <c r="B411" s="661"/>
      <c r="C411" s="648"/>
      <c r="D411" s="648"/>
      <c r="E411" s="644"/>
      <c r="F411" s="810"/>
      <c r="G411" s="648"/>
      <c r="H411" s="811"/>
      <c r="I411" s="927"/>
      <c r="J411" s="758" t="s">
        <v>1441</v>
      </c>
      <c r="K411" s="656">
        <v>227338786.91</v>
      </c>
      <c r="L411" s="656">
        <v>226267473.43000004</v>
      </c>
      <c r="M411" s="657">
        <v>0.014251920282160248</v>
      </c>
      <c r="N411" s="657">
        <v>0.9952875904083007</v>
      </c>
      <c r="O411" s="656">
        <v>-1071313.4799999595</v>
      </c>
      <c r="P411" s="658">
        <v>-0.004712409591699266</v>
      </c>
    </row>
    <row r="412" spans="2:16" ht="18.75" customHeight="1">
      <c r="B412" s="661"/>
      <c r="C412" s="648"/>
      <c r="D412" s="648"/>
      <c r="E412" s="644"/>
      <c r="F412" s="644"/>
      <c r="G412" s="648"/>
      <c r="H412" s="650"/>
      <c r="I412" s="926"/>
      <c r="J412" s="759" t="s">
        <v>1317</v>
      </c>
      <c r="K412" s="662">
        <v>3139857.02</v>
      </c>
      <c r="L412" s="662">
        <v>2080227.58</v>
      </c>
      <c r="M412" s="663">
        <v>0.00013102739509787757</v>
      </c>
      <c r="N412" s="663">
        <v>0.6625230278797855</v>
      </c>
      <c r="O412" s="662">
        <v>-1059629.44</v>
      </c>
      <c r="P412" s="724">
        <v>-0.33747697212021455</v>
      </c>
    </row>
    <row r="413" spans="2:19" ht="18.75" customHeight="1">
      <c r="B413" s="661"/>
      <c r="C413" s="648"/>
      <c r="D413" s="648"/>
      <c r="E413" s="644"/>
      <c r="F413" s="644"/>
      <c r="G413" s="648"/>
      <c r="H413" s="650"/>
      <c r="I413" s="926"/>
      <c r="J413" s="759" t="s">
        <v>1135</v>
      </c>
      <c r="K413" s="662">
        <v>224198929.89</v>
      </c>
      <c r="L413" s="662">
        <v>224187245.85000002</v>
      </c>
      <c r="M413" s="663">
        <v>0.01412089288706237</v>
      </c>
      <c r="N413" s="663">
        <v>0.9999478853890797</v>
      </c>
      <c r="O413" s="662">
        <v>-11684.039999961853</v>
      </c>
      <c r="P413" s="724">
        <v>-5.211461092028611E-05</v>
      </c>
      <c r="Q413" s="603"/>
      <c r="S413" s="603"/>
    </row>
    <row r="414" spans="2:16" ht="18.75" customHeight="1">
      <c r="B414" s="661"/>
      <c r="C414" s="648"/>
      <c r="D414" s="648"/>
      <c r="E414" s="644"/>
      <c r="F414" s="644"/>
      <c r="G414" s="648"/>
      <c r="H414" s="650"/>
      <c r="I414" s="926"/>
      <c r="J414" s="661"/>
      <c r="K414" s="662"/>
      <c r="L414" s="662"/>
      <c r="M414" s="663"/>
      <c r="N414" s="663"/>
      <c r="O414" s="662"/>
      <c r="P414" s="724"/>
    </row>
    <row r="415" spans="2:16" ht="18.75" customHeight="1">
      <c r="B415" s="661"/>
      <c r="C415" s="648"/>
      <c r="D415" s="648"/>
      <c r="E415" s="644"/>
      <c r="F415" s="644"/>
      <c r="G415" s="648"/>
      <c r="H415" s="650"/>
      <c r="I415" s="926"/>
      <c r="J415" s="664" t="s">
        <v>969</v>
      </c>
      <c r="K415" s="656">
        <v>257859911</v>
      </c>
      <c r="L415" s="656">
        <v>234451521.96</v>
      </c>
      <c r="M415" s="657">
        <v>0.014767409342371876</v>
      </c>
      <c r="N415" s="657">
        <v>0.9092205184232768</v>
      </c>
      <c r="O415" s="656">
        <v>-23408389.03999999</v>
      </c>
      <c r="P415" s="658">
        <v>-0.09077948157672323</v>
      </c>
    </row>
    <row r="416" spans="2:16" ht="18.75" customHeight="1">
      <c r="B416" s="661"/>
      <c r="C416" s="648"/>
      <c r="D416" s="648"/>
      <c r="E416" s="644"/>
      <c r="F416" s="644"/>
      <c r="G416" s="648"/>
      <c r="H416" s="650"/>
      <c r="I416" s="926"/>
      <c r="J416" s="665" t="s">
        <v>1040</v>
      </c>
      <c r="K416" s="662">
        <v>248995111</v>
      </c>
      <c r="L416" s="662">
        <v>227385001.26000002</v>
      </c>
      <c r="M416" s="663">
        <v>0.014322310061587306</v>
      </c>
      <c r="N416" s="663">
        <v>0.9132107066150388</v>
      </c>
      <c r="O416" s="662">
        <v>-21610109.73999998</v>
      </c>
      <c r="P416" s="724">
        <v>-0.0867892933849612</v>
      </c>
    </row>
    <row r="417" spans="2:16" ht="18.75" customHeight="1">
      <c r="B417" s="661"/>
      <c r="C417" s="648"/>
      <c r="D417" s="648"/>
      <c r="E417" s="644"/>
      <c r="F417" s="644"/>
      <c r="G417" s="648"/>
      <c r="H417" s="650"/>
      <c r="I417" s="926"/>
      <c r="J417" s="665" t="s">
        <v>1041</v>
      </c>
      <c r="K417" s="662">
        <v>8500000</v>
      </c>
      <c r="L417" s="662">
        <v>6879042.1</v>
      </c>
      <c r="M417" s="663">
        <v>0.000433290557147422</v>
      </c>
      <c r="N417" s="663">
        <v>0.8092990705882352</v>
      </c>
      <c r="O417" s="662">
        <v>-1620957.9</v>
      </c>
      <c r="P417" s="724">
        <v>-0.19070092941176475</v>
      </c>
    </row>
    <row r="418" spans="2:16" ht="18.75" customHeight="1">
      <c r="B418" s="661"/>
      <c r="C418" s="812"/>
      <c r="D418" s="812"/>
      <c r="E418" s="644"/>
      <c r="F418" s="644"/>
      <c r="G418" s="812"/>
      <c r="H418" s="650"/>
      <c r="I418" s="926"/>
      <c r="J418" s="665" t="s">
        <v>178</v>
      </c>
      <c r="K418" s="662">
        <v>20000</v>
      </c>
      <c r="L418" s="662">
        <v>7653.65</v>
      </c>
      <c r="M418" s="663">
        <v>4.82080822373709E-07</v>
      </c>
      <c r="N418" s="663">
        <v>0.3826825</v>
      </c>
      <c r="O418" s="662">
        <v>-12346.35</v>
      </c>
      <c r="P418" s="724">
        <v>-0.6173175</v>
      </c>
    </row>
    <row r="419" spans="2:16" ht="18.75" customHeight="1">
      <c r="B419" s="661"/>
      <c r="C419" s="812"/>
      <c r="D419" s="812"/>
      <c r="E419" s="644"/>
      <c r="F419" s="644"/>
      <c r="G419" s="812"/>
      <c r="H419" s="650"/>
      <c r="I419" s="926"/>
      <c r="J419" s="665" t="s">
        <v>342</v>
      </c>
      <c r="K419" s="662">
        <v>320500</v>
      </c>
      <c r="L419" s="662">
        <v>177752.48</v>
      </c>
      <c r="M419" s="663">
        <v>1.1196104046744528E-05</v>
      </c>
      <c r="N419" s="663">
        <v>0.5546099219968799</v>
      </c>
      <c r="O419" s="662">
        <v>-142747.52</v>
      </c>
      <c r="P419" s="724">
        <v>-0.4453900780031202</v>
      </c>
    </row>
    <row r="420" spans="2:16" ht="18.75" customHeight="1">
      <c r="B420" s="661"/>
      <c r="C420" s="812"/>
      <c r="D420" s="812"/>
      <c r="E420" s="644"/>
      <c r="F420" s="660"/>
      <c r="G420" s="812"/>
      <c r="H420" s="807"/>
      <c r="I420" s="831"/>
      <c r="J420" s="665" t="s">
        <v>1335</v>
      </c>
      <c r="K420" s="662">
        <v>0</v>
      </c>
      <c r="L420" s="662">
        <v>0</v>
      </c>
      <c r="M420" s="663">
        <v>0</v>
      </c>
      <c r="N420" s="663"/>
      <c r="O420" s="662">
        <v>0</v>
      </c>
      <c r="P420" s="724"/>
    </row>
    <row r="421" spans="2:16" ht="18.75" customHeight="1">
      <c r="B421" s="661"/>
      <c r="C421" s="812"/>
      <c r="D421" s="812"/>
      <c r="E421" s="644"/>
      <c r="F421" s="660"/>
      <c r="G421" s="812"/>
      <c r="H421" s="807"/>
      <c r="I421" s="831"/>
      <c r="J421" s="665" t="s">
        <v>1083</v>
      </c>
      <c r="K421" s="662">
        <v>0</v>
      </c>
      <c r="L421" s="662">
        <v>0</v>
      </c>
      <c r="M421" s="663">
        <v>0</v>
      </c>
      <c r="N421" s="663"/>
      <c r="O421" s="662">
        <v>0</v>
      </c>
      <c r="P421" s="724"/>
    </row>
    <row r="422" spans="2:16" ht="18.75" customHeight="1">
      <c r="B422" s="661"/>
      <c r="C422" s="812"/>
      <c r="D422" s="812"/>
      <c r="E422" s="644"/>
      <c r="F422" s="660"/>
      <c r="G422" s="812"/>
      <c r="H422" s="807"/>
      <c r="I422" s="831"/>
      <c r="J422" s="665" t="s">
        <v>1420</v>
      </c>
      <c r="K422" s="662">
        <v>3800</v>
      </c>
      <c r="L422" s="662">
        <v>9.62</v>
      </c>
      <c r="M422" s="663">
        <v>6.059354048375717E-10</v>
      </c>
      <c r="N422" s="663">
        <v>0.0025315789473684207</v>
      </c>
      <c r="O422" s="662">
        <v>-3790.38</v>
      </c>
      <c r="P422" s="724">
        <v>-0.9974684210526316</v>
      </c>
    </row>
    <row r="423" spans="2:16" ht="18.75" customHeight="1">
      <c r="B423" s="655" t="s">
        <v>848</v>
      </c>
      <c r="C423" s="659">
        <v>25480482</v>
      </c>
      <c r="D423" s="659">
        <v>3924338.02</v>
      </c>
      <c r="E423" s="660">
        <v>0.0002477745168204573</v>
      </c>
      <c r="F423" s="660">
        <v>0.1540134923664317</v>
      </c>
      <c r="G423" s="659">
        <v>-21556143.98</v>
      </c>
      <c r="H423" s="807">
        <v>-0.8459865076335683</v>
      </c>
      <c r="I423" s="831"/>
      <c r="J423" s="665" t="s">
        <v>1421</v>
      </c>
      <c r="K423" s="662">
        <v>17500</v>
      </c>
      <c r="L423" s="662">
        <v>2062.85</v>
      </c>
      <c r="M423" s="663">
        <v>1.299328326267344E-07</v>
      </c>
      <c r="N423" s="663"/>
      <c r="O423" s="662">
        <v>-15437.15</v>
      </c>
      <c r="P423" s="724"/>
    </row>
    <row r="424" spans="2:16" ht="18.75" customHeight="1">
      <c r="B424" s="664" t="s">
        <v>406</v>
      </c>
      <c r="C424" s="659">
        <v>25480482</v>
      </c>
      <c r="D424" s="659">
        <v>3924338.02</v>
      </c>
      <c r="E424" s="660">
        <v>0.0002477745168204573</v>
      </c>
      <c r="F424" s="660">
        <v>0.1540134923664317</v>
      </c>
      <c r="G424" s="659">
        <v>-21556143.98</v>
      </c>
      <c r="H424" s="807">
        <v>-0.8459865076335683</v>
      </c>
      <c r="I424" s="831"/>
      <c r="J424" s="665" t="s">
        <v>1422</v>
      </c>
      <c r="K424" s="928">
        <v>3000</v>
      </c>
      <c r="L424" s="662">
        <v>0</v>
      </c>
      <c r="M424" s="663">
        <v>0</v>
      </c>
      <c r="N424" s="663"/>
      <c r="O424" s="662">
        <v>-3000</v>
      </c>
      <c r="P424" s="724"/>
    </row>
    <row r="425" spans="2:16" ht="18.75" customHeight="1">
      <c r="B425" s="661"/>
      <c r="C425" s="648"/>
      <c r="D425" s="648"/>
      <c r="E425" s="644"/>
      <c r="F425" s="644"/>
      <c r="G425" s="648"/>
      <c r="H425" s="650"/>
      <c r="I425" s="926"/>
      <c r="J425" s="665"/>
      <c r="K425" s="662"/>
      <c r="L425" s="662"/>
      <c r="M425" s="663"/>
      <c r="N425" s="663" t="s">
        <v>590</v>
      </c>
      <c r="O425" s="662"/>
      <c r="P425" s="724"/>
    </row>
    <row r="426" spans="2:16" ht="18.75" customHeight="1">
      <c r="B426" s="664" t="s">
        <v>407</v>
      </c>
      <c r="C426" s="659">
        <v>100</v>
      </c>
      <c r="D426" s="659">
        <v>0</v>
      </c>
      <c r="E426" s="660">
        <v>0</v>
      </c>
      <c r="F426" s="660">
        <v>0</v>
      </c>
      <c r="G426" s="659">
        <v>-100</v>
      </c>
      <c r="H426" s="807">
        <v>-1</v>
      </c>
      <c r="I426" s="831"/>
      <c r="J426" s="664" t="s">
        <v>1541</v>
      </c>
      <c r="K426" s="656">
        <v>0</v>
      </c>
      <c r="L426" s="656">
        <v>0</v>
      </c>
      <c r="M426" s="657">
        <v>0</v>
      </c>
      <c r="N426" s="657"/>
      <c r="O426" s="656">
        <v>0</v>
      </c>
      <c r="P426" s="658"/>
    </row>
    <row r="427" spans="2:16" ht="18.75" customHeight="1">
      <c r="B427" s="665" t="s">
        <v>408</v>
      </c>
      <c r="C427" s="648">
        <v>100</v>
      </c>
      <c r="D427" s="648">
        <v>0</v>
      </c>
      <c r="E427" s="644">
        <v>0</v>
      </c>
      <c r="F427" s="644">
        <v>0</v>
      </c>
      <c r="G427" s="648">
        <v>-100</v>
      </c>
      <c r="H427" s="650">
        <v>-1</v>
      </c>
      <c r="I427" s="926"/>
      <c r="J427" s="666"/>
      <c r="K427" s="662"/>
      <c r="L427" s="662"/>
      <c r="M427" s="663"/>
      <c r="N427" s="663" t="s">
        <v>590</v>
      </c>
      <c r="O427" s="662"/>
      <c r="P427" s="724"/>
    </row>
    <row r="428" spans="2:16" ht="18.75" customHeight="1">
      <c r="B428" s="661"/>
      <c r="C428" s="812"/>
      <c r="D428" s="812"/>
      <c r="E428" s="644"/>
      <c r="F428" s="644"/>
      <c r="G428" s="812"/>
      <c r="H428" s="650"/>
      <c r="I428" s="926"/>
      <c r="J428" s="655" t="s">
        <v>848</v>
      </c>
      <c r="K428" s="656">
        <v>36033680</v>
      </c>
      <c r="L428" s="656">
        <v>18398323.830000002</v>
      </c>
      <c r="M428" s="657">
        <v>0.0011588561120856335</v>
      </c>
      <c r="N428" s="657">
        <v>0.5105868684519594</v>
      </c>
      <c r="O428" s="656">
        <v>-17635356.169999998</v>
      </c>
      <c r="P428" s="658">
        <v>-0.48941313154804056</v>
      </c>
    </row>
    <row r="429" spans="2:16" ht="18.75" customHeight="1">
      <c r="B429" s="664"/>
      <c r="C429" s="659"/>
      <c r="D429" s="659"/>
      <c r="E429" s="660"/>
      <c r="F429" s="660"/>
      <c r="G429" s="659"/>
      <c r="H429" s="807"/>
      <c r="I429" s="831"/>
      <c r="J429" s="664" t="s">
        <v>1042</v>
      </c>
      <c r="K429" s="656">
        <v>36033680</v>
      </c>
      <c r="L429" s="656">
        <v>18398323.830000002</v>
      </c>
      <c r="M429" s="657">
        <v>0.0011588561120856335</v>
      </c>
      <c r="N429" s="657">
        <v>0.5105868684519594</v>
      </c>
      <c r="O429" s="656">
        <v>-17635356.169999998</v>
      </c>
      <c r="P429" s="658">
        <v>-0.48941313154804056</v>
      </c>
    </row>
    <row r="430" spans="2:16" ht="18.75" customHeight="1">
      <c r="B430" s="664" t="s">
        <v>1210</v>
      </c>
      <c r="C430" s="659">
        <v>0</v>
      </c>
      <c r="D430" s="659">
        <v>0</v>
      </c>
      <c r="E430" s="660">
        <v>0</v>
      </c>
      <c r="F430" s="660"/>
      <c r="G430" s="659">
        <v>0</v>
      </c>
      <c r="H430" s="807"/>
      <c r="I430" s="831"/>
      <c r="J430" s="664"/>
      <c r="K430" s="656"/>
      <c r="L430" s="656"/>
      <c r="M430" s="657"/>
      <c r="N430" s="657" t="s">
        <v>590</v>
      </c>
      <c r="O430" s="656"/>
      <c r="P430" s="658"/>
    </row>
    <row r="431" spans="2:16" ht="18.75" customHeight="1">
      <c r="B431" s="665" t="s">
        <v>633</v>
      </c>
      <c r="C431" s="648">
        <v>0</v>
      </c>
      <c r="D431" s="648">
        <v>0</v>
      </c>
      <c r="E431" s="644">
        <v>0</v>
      </c>
      <c r="F431" s="644"/>
      <c r="G431" s="648">
        <v>0</v>
      </c>
      <c r="H431" s="650"/>
      <c r="I431" s="926"/>
      <c r="J431" s="665" t="s">
        <v>172</v>
      </c>
      <c r="K431" s="656">
        <v>19797500</v>
      </c>
      <c r="L431" s="656">
        <v>10951168.2</v>
      </c>
      <c r="M431" s="657">
        <v>0.0006897817605729046</v>
      </c>
      <c r="N431" s="657">
        <v>0.5531591463568633</v>
      </c>
      <c r="O431" s="656">
        <v>-8846331.8</v>
      </c>
      <c r="P431" s="658">
        <v>-0.4468408536431368</v>
      </c>
    </row>
    <row r="432" spans="2:16" ht="18.75" customHeight="1">
      <c r="B432" s="661"/>
      <c r="C432" s="648"/>
      <c r="D432" s="648"/>
      <c r="E432" s="644"/>
      <c r="F432" s="644"/>
      <c r="G432" s="648"/>
      <c r="H432" s="650"/>
      <c r="I432" s="926"/>
      <c r="J432" s="758" t="s">
        <v>172</v>
      </c>
      <c r="K432" s="662">
        <v>19797500</v>
      </c>
      <c r="L432" s="662">
        <v>10951168.2</v>
      </c>
      <c r="M432" s="663">
        <v>0.0006897817605729046</v>
      </c>
      <c r="N432" s="663">
        <v>0.5531591463568633</v>
      </c>
      <c r="O432" s="662">
        <v>-8846331.8</v>
      </c>
      <c r="P432" s="724">
        <v>-0.4468408536431368</v>
      </c>
    </row>
    <row r="433" spans="2:16" ht="18.75" customHeight="1">
      <c r="B433" s="664" t="s">
        <v>247</v>
      </c>
      <c r="C433" s="659">
        <v>10</v>
      </c>
      <c r="D433" s="659">
        <v>0</v>
      </c>
      <c r="E433" s="660">
        <v>0</v>
      </c>
      <c r="F433" s="660">
        <v>0</v>
      </c>
      <c r="G433" s="659">
        <v>-10</v>
      </c>
      <c r="H433" s="807">
        <v>-1</v>
      </c>
      <c r="I433" s="831"/>
      <c r="J433" s="671"/>
      <c r="K433" s="662"/>
      <c r="L433" s="662"/>
      <c r="M433" s="663">
        <v>0</v>
      </c>
      <c r="N433" s="663" t="s">
        <v>590</v>
      </c>
      <c r="O433" s="662"/>
      <c r="P433" s="724"/>
    </row>
    <row r="434" spans="2:16" ht="18.75" customHeight="1">
      <c r="B434" s="661"/>
      <c r="C434" s="812"/>
      <c r="D434" s="812"/>
      <c r="E434" s="644"/>
      <c r="F434" s="644"/>
      <c r="G434" s="812"/>
      <c r="H434" s="650"/>
      <c r="I434" s="926"/>
      <c r="J434" s="665" t="s">
        <v>919</v>
      </c>
      <c r="K434" s="662">
        <v>15718180</v>
      </c>
      <c r="L434" s="662">
        <v>7434344.78</v>
      </c>
      <c r="M434" s="663">
        <v>0.00046826743388475974</v>
      </c>
      <c r="N434" s="663">
        <v>0.47297745540514236</v>
      </c>
      <c r="O434" s="662">
        <v>-8283835.22</v>
      </c>
      <c r="P434" s="724">
        <v>-0.5270225445948576</v>
      </c>
    </row>
    <row r="435" spans="2:16" ht="18.75" customHeight="1">
      <c r="B435" s="664" t="s">
        <v>911</v>
      </c>
      <c r="C435" s="648">
        <v>25000000</v>
      </c>
      <c r="D435" s="648">
        <v>3924338.02</v>
      </c>
      <c r="E435" s="644">
        <v>0.0002477745168204573</v>
      </c>
      <c r="F435" s="644">
        <v>0.1569735208</v>
      </c>
      <c r="G435" s="648">
        <v>-21075661.98</v>
      </c>
      <c r="H435" s="650">
        <v>-0.8430264792000001</v>
      </c>
      <c r="I435" s="926"/>
      <c r="J435" s="665" t="s">
        <v>1438</v>
      </c>
      <c r="K435" s="662">
        <v>518000</v>
      </c>
      <c r="L435" s="662">
        <v>12810.85</v>
      </c>
      <c r="M435" s="663">
        <v>8.069176279691691E-07</v>
      </c>
      <c r="N435" s="663">
        <v>0.024731370656370658</v>
      </c>
      <c r="O435" s="662">
        <v>-505189.15</v>
      </c>
      <c r="P435" s="724">
        <v>-0.9752686293436293</v>
      </c>
    </row>
    <row r="436" spans="2:16" ht="18.75" customHeight="1">
      <c r="B436" s="664" t="s">
        <v>203</v>
      </c>
      <c r="C436" s="648">
        <v>480372</v>
      </c>
      <c r="D436" s="648">
        <v>0</v>
      </c>
      <c r="E436" s="644">
        <v>0</v>
      </c>
      <c r="F436" s="644">
        <v>0</v>
      </c>
      <c r="G436" s="648">
        <v>-480372</v>
      </c>
      <c r="H436" s="650">
        <v>-1</v>
      </c>
      <c r="I436" s="926"/>
      <c r="J436" s="666"/>
      <c r="K436" s="662"/>
      <c r="L436" s="662"/>
      <c r="M436" s="663">
        <v>0</v>
      </c>
      <c r="N436" s="663"/>
      <c r="O436" s="662"/>
      <c r="P436" s="724"/>
    </row>
    <row r="437" spans="2:16" ht="18.75" customHeight="1">
      <c r="B437" s="664" t="s">
        <v>912</v>
      </c>
      <c r="C437" s="648">
        <v>0</v>
      </c>
      <c r="D437" s="648">
        <v>0</v>
      </c>
      <c r="E437" s="644">
        <v>0</v>
      </c>
      <c r="F437" s="644"/>
      <c r="G437" s="648">
        <v>0</v>
      </c>
      <c r="H437" s="650"/>
      <c r="I437" s="926"/>
      <c r="J437" s="664" t="s">
        <v>797</v>
      </c>
      <c r="K437" s="656">
        <v>0</v>
      </c>
      <c r="L437" s="656">
        <v>0</v>
      </c>
      <c r="M437" s="657">
        <v>0</v>
      </c>
      <c r="N437" s="657"/>
      <c r="O437" s="656">
        <v>0</v>
      </c>
      <c r="P437" s="658"/>
    </row>
    <row r="438" spans="2:20" ht="18.75" customHeight="1">
      <c r="B438" s="661"/>
      <c r="C438" s="812"/>
      <c r="D438" s="812"/>
      <c r="E438" s="644"/>
      <c r="F438" s="644"/>
      <c r="G438" s="812"/>
      <c r="H438" s="650"/>
      <c r="I438" s="926"/>
      <c r="J438" s="666" t="s">
        <v>633</v>
      </c>
      <c r="K438" s="662">
        <v>0</v>
      </c>
      <c r="L438" s="662">
        <v>0</v>
      </c>
      <c r="M438" s="663">
        <v>0</v>
      </c>
      <c r="N438" s="663"/>
      <c r="O438" s="662">
        <v>0</v>
      </c>
      <c r="P438" s="724"/>
      <c r="T438" s="813"/>
    </row>
    <row r="439" spans="2:17" ht="18.75" customHeight="1">
      <c r="B439" s="920" t="s">
        <v>248</v>
      </c>
      <c r="C439" s="648">
        <v>0</v>
      </c>
      <c r="D439" s="648">
        <v>0</v>
      </c>
      <c r="E439" s="644"/>
      <c r="F439" s="644"/>
      <c r="G439" s="648"/>
      <c r="H439" s="650"/>
      <c r="I439" s="926"/>
      <c r="J439" s="666"/>
      <c r="K439" s="662"/>
      <c r="L439" s="662"/>
      <c r="M439" s="663"/>
      <c r="N439" s="663"/>
      <c r="O439" s="662"/>
      <c r="P439" s="724"/>
      <c r="Q439" s="814"/>
    </row>
    <row r="440" spans="2:16" ht="18.75" customHeight="1">
      <c r="B440" s="664"/>
      <c r="C440" s="648"/>
      <c r="D440" s="815"/>
      <c r="E440" s="644"/>
      <c r="F440" s="644"/>
      <c r="G440" s="648"/>
      <c r="H440" s="650"/>
      <c r="I440" s="926"/>
      <c r="J440" s="664" t="s">
        <v>1551</v>
      </c>
      <c r="K440" s="656">
        <v>0</v>
      </c>
      <c r="L440" s="656">
        <v>0</v>
      </c>
      <c r="M440" s="657">
        <v>0</v>
      </c>
      <c r="N440" s="657"/>
      <c r="O440" s="656">
        <v>0</v>
      </c>
      <c r="P440" s="658"/>
    </row>
    <row r="441" spans="2:16" ht="18.75" customHeight="1">
      <c r="B441" s="655" t="s">
        <v>1594</v>
      </c>
      <c r="C441" s="659">
        <v>76200000</v>
      </c>
      <c r="D441" s="659">
        <v>76200000</v>
      </c>
      <c r="E441" s="660">
        <v>0.004811109054698311</v>
      </c>
      <c r="F441" s="660">
        <v>1</v>
      </c>
      <c r="G441" s="659">
        <v>0</v>
      </c>
      <c r="H441" s="807">
        <v>0</v>
      </c>
      <c r="I441" s="926"/>
      <c r="J441" s="665" t="s">
        <v>173</v>
      </c>
      <c r="K441" s="662">
        <v>0</v>
      </c>
      <c r="L441" s="662">
        <v>0</v>
      </c>
      <c r="M441" s="663">
        <v>0</v>
      </c>
      <c r="N441" s="663"/>
      <c r="O441" s="662">
        <v>0</v>
      </c>
      <c r="P441" s="724"/>
    </row>
    <row r="442" spans="2:16" ht="18.75" customHeight="1">
      <c r="B442" s="655" t="s">
        <v>488</v>
      </c>
      <c r="C442" s="659">
        <v>25686871</v>
      </c>
      <c r="D442" s="659">
        <v>0</v>
      </c>
      <c r="E442" s="660">
        <v>0</v>
      </c>
      <c r="F442" s="660">
        <v>0</v>
      </c>
      <c r="G442" s="659">
        <v>-25686871</v>
      </c>
      <c r="H442" s="807">
        <v>-1</v>
      </c>
      <c r="I442" s="831"/>
      <c r="J442" s="661"/>
      <c r="K442" s="670"/>
      <c r="L442" s="670"/>
      <c r="M442" s="663"/>
      <c r="N442" s="663" t="s">
        <v>590</v>
      </c>
      <c r="O442" s="670"/>
      <c r="P442" s="724"/>
    </row>
    <row r="443" spans="2:16" ht="18.75" customHeight="1">
      <c r="B443" s="655" t="s">
        <v>489</v>
      </c>
      <c r="C443" s="659">
        <v>0</v>
      </c>
      <c r="D443" s="659">
        <v>0</v>
      </c>
      <c r="E443" s="660">
        <v>0</v>
      </c>
      <c r="F443" s="660"/>
      <c r="G443" s="659">
        <v>0</v>
      </c>
      <c r="H443" s="807"/>
      <c r="I443" s="831"/>
      <c r="J443" s="664" t="s">
        <v>701</v>
      </c>
      <c r="K443" s="656">
        <v>1205157756.9</v>
      </c>
      <c r="L443" s="656">
        <v>871208320.7100054</v>
      </c>
      <c r="M443" s="657">
        <v>0.05487484059327216</v>
      </c>
      <c r="N443" s="657">
        <v>0.7228998159966997</v>
      </c>
      <c r="O443" s="656">
        <v>-333949436.1899947</v>
      </c>
      <c r="P443" s="658">
        <v>-0.27710018400330033</v>
      </c>
    </row>
    <row r="444" spans="2:16" ht="18.75" customHeight="1">
      <c r="B444" s="655" t="s">
        <v>490</v>
      </c>
      <c r="C444" s="659">
        <v>56337490</v>
      </c>
      <c r="D444" s="816">
        <v>56337490</v>
      </c>
      <c r="E444" s="660">
        <v>0.003557031604435375</v>
      </c>
      <c r="F444" s="660">
        <v>1</v>
      </c>
      <c r="G444" s="659">
        <v>0</v>
      </c>
      <c r="H444" s="807">
        <v>0</v>
      </c>
      <c r="I444" s="926"/>
      <c r="J444" s="664" t="s">
        <v>702</v>
      </c>
      <c r="K444" s="656">
        <v>59847573</v>
      </c>
      <c r="L444" s="656">
        <v>208345622.29000008</v>
      </c>
      <c r="M444" s="657">
        <v>0.013123075778422767</v>
      </c>
      <c r="N444" s="657">
        <v>3.4812710331628667</v>
      </c>
      <c r="O444" s="656">
        <v>148498049.29000008</v>
      </c>
      <c r="P444" s="658">
        <v>2.4812710331628667</v>
      </c>
    </row>
    <row r="445" spans="2:16" ht="18.75" customHeight="1">
      <c r="B445" s="664"/>
      <c r="C445" s="648"/>
      <c r="D445" s="815"/>
      <c r="E445" s="644"/>
      <c r="F445" s="644"/>
      <c r="G445" s="648"/>
      <c r="H445" s="650"/>
      <c r="I445" s="926"/>
      <c r="J445" s="664" t="s">
        <v>1234</v>
      </c>
      <c r="K445" s="656">
        <v>534000</v>
      </c>
      <c r="L445" s="656">
        <v>70047060.87999988</v>
      </c>
      <c r="M445" s="657">
        <v>0.0044120576083165036</v>
      </c>
      <c r="N445" s="657">
        <v>131.1742713108612</v>
      </c>
      <c r="O445" s="656">
        <v>69513060.87999988</v>
      </c>
      <c r="P445" s="658">
        <v>130.1742713108612</v>
      </c>
    </row>
    <row r="446" spans="2:16" ht="18.75" customHeight="1">
      <c r="B446" s="664"/>
      <c r="C446" s="648"/>
      <c r="D446" s="815"/>
      <c r="E446" s="644"/>
      <c r="F446" s="644"/>
      <c r="G446" s="648"/>
      <c r="H446" s="650"/>
      <c r="I446" s="926"/>
      <c r="J446" s="664"/>
      <c r="K446" s="656"/>
      <c r="L446" s="656"/>
      <c r="M446" s="657"/>
      <c r="N446" s="657" t="s">
        <v>590</v>
      </c>
      <c r="O446" s="656"/>
      <c r="P446" s="658"/>
    </row>
    <row r="447" spans="2:16" ht="18.75" customHeight="1">
      <c r="B447" s="664"/>
      <c r="C447" s="648"/>
      <c r="D447" s="815"/>
      <c r="E447" s="644"/>
      <c r="F447" s="644"/>
      <c r="G447" s="648"/>
      <c r="H447" s="650"/>
      <c r="I447" s="926"/>
      <c r="J447" s="664" t="s">
        <v>1218</v>
      </c>
      <c r="K447" s="656">
        <v>0</v>
      </c>
      <c r="L447" s="656">
        <v>0</v>
      </c>
      <c r="M447" s="657">
        <v>0</v>
      </c>
      <c r="N447" s="657"/>
      <c r="O447" s="656">
        <v>0</v>
      </c>
      <c r="P447" s="658"/>
    </row>
    <row r="448" spans="2:16" ht="18.75" customHeight="1">
      <c r="B448" s="664"/>
      <c r="C448" s="648"/>
      <c r="D448" s="815"/>
      <c r="E448" s="644"/>
      <c r="F448" s="644"/>
      <c r="G448" s="648"/>
      <c r="H448" s="650"/>
      <c r="I448" s="926"/>
      <c r="J448" s="655" t="s">
        <v>1219</v>
      </c>
      <c r="K448" s="656">
        <v>344031623.06</v>
      </c>
      <c r="L448" s="656">
        <v>297029793.31</v>
      </c>
      <c r="M448" s="657">
        <v>0.01870902994367101</v>
      </c>
      <c r="N448" s="657">
        <v>0.8633793331789074</v>
      </c>
      <c r="O448" s="656">
        <v>-47001829.75</v>
      </c>
      <c r="P448" s="658">
        <v>-0.13662066682109267</v>
      </c>
    </row>
    <row r="449" spans="2:16" ht="18.75" customHeight="1">
      <c r="B449" s="817"/>
      <c r="C449" s="648"/>
      <c r="D449" s="648"/>
      <c r="E449" s="644"/>
      <c r="F449" s="818"/>
      <c r="G449" s="648"/>
      <c r="H449" s="650"/>
      <c r="I449" s="926"/>
      <c r="J449" s="665" t="s">
        <v>90</v>
      </c>
      <c r="K449" s="662">
        <v>337100</v>
      </c>
      <c r="L449" s="662">
        <v>337100</v>
      </c>
      <c r="M449" s="657">
        <v>2.1232933988642976E-05</v>
      </c>
      <c r="N449" s="657">
        <v>1</v>
      </c>
      <c r="O449" s="662">
        <v>0</v>
      </c>
      <c r="P449" s="658">
        <v>0</v>
      </c>
    </row>
    <row r="450" spans="2:16" ht="18.75" customHeight="1">
      <c r="B450" s="817"/>
      <c r="C450" s="648"/>
      <c r="D450" s="648"/>
      <c r="E450" s="644"/>
      <c r="F450" s="818"/>
      <c r="G450" s="648"/>
      <c r="H450" s="650"/>
      <c r="I450" s="926"/>
      <c r="J450" s="665" t="s">
        <v>91</v>
      </c>
      <c r="K450" s="662">
        <v>293007652.06</v>
      </c>
      <c r="L450" s="662">
        <v>293007652.06</v>
      </c>
      <c r="M450" s="657">
        <v>0.018455687138407742</v>
      </c>
      <c r="N450" s="657">
        <v>1</v>
      </c>
      <c r="O450" s="662">
        <v>0</v>
      </c>
      <c r="P450" s="658">
        <v>0</v>
      </c>
    </row>
    <row r="451" spans="2:16" ht="18.75" customHeight="1" thickBot="1">
      <c r="B451" s="817"/>
      <c r="C451" s="819"/>
      <c r="D451" s="819"/>
      <c r="E451" s="820"/>
      <c r="F451" s="818"/>
      <c r="G451" s="819"/>
      <c r="H451" s="650"/>
      <c r="I451" s="926"/>
      <c r="J451" s="665" t="s">
        <v>680</v>
      </c>
      <c r="K451" s="662">
        <v>25000000</v>
      </c>
      <c r="L451" s="662">
        <v>3685041.25</v>
      </c>
      <c r="M451" s="663">
        <v>0.00023210987127462594</v>
      </c>
      <c r="N451" s="663">
        <v>0.14740165</v>
      </c>
      <c r="O451" s="662">
        <v>-21314958.75</v>
      </c>
      <c r="P451" s="724">
        <v>-0.85259835</v>
      </c>
    </row>
    <row r="452" spans="2:16" ht="43.5" customHeight="1" thickBot="1">
      <c r="B452" s="823" t="s">
        <v>603</v>
      </c>
      <c r="C452" s="824">
        <v>17824855385.8722</v>
      </c>
      <c r="D452" s="824">
        <v>17322910551.102203</v>
      </c>
      <c r="E452" s="825"/>
      <c r="F452" s="826">
        <v>0.9718401735159191</v>
      </c>
      <c r="G452" s="824">
        <v>-501944834.76999664</v>
      </c>
      <c r="H452" s="827">
        <v>-0.028159826484080934</v>
      </c>
      <c r="I452" s="828"/>
      <c r="J452" s="665" t="s">
        <v>1471</v>
      </c>
      <c r="K452" s="662">
        <v>0</v>
      </c>
      <c r="L452" s="662">
        <v>0</v>
      </c>
      <c r="M452" s="663">
        <v>0</v>
      </c>
      <c r="N452" s="663"/>
      <c r="O452" s="662">
        <v>0</v>
      </c>
      <c r="P452" s="724"/>
    </row>
    <row r="453" spans="2:43" s="833" customFormat="1" ht="18.75" customHeight="1">
      <c r="B453" s="691" t="s">
        <v>503</v>
      </c>
      <c r="C453" s="828">
        <v>-33182478.909999847</v>
      </c>
      <c r="D453" s="828">
        <v>-170460480.82999992</v>
      </c>
      <c r="E453" s="829"/>
      <c r="F453" s="830"/>
      <c r="G453" s="831"/>
      <c r="H453" s="831"/>
      <c r="I453" s="813"/>
      <c r="J453" s="665" t="s">
        <v>857</v>
      </c>
      <c r="K453" s="662">
        <v>25686871</v>
      </c>
      <c r="L453" s="662">
        <v>0</v>
      </c>
      <c r="M453" s="663">
        <v>0</v>
      </c>
      <c r="N453" s="663">
        <v>0</v>
      </c>
      <c r="O453" s="662">
        <v>-25686871</v>
      </c>
      <c r="P453" s="724">
        <v>-1</v>
      </c>
      <c r="Q453" s="673"/>
      <c r="R453" s="673"/>
      <c r="S453" s="673"/>
      <c r="T453" s="673"/>
      <c r="U453" s="673"/>
      <c r="V453" s="673"/>
      <c r="W453" s="673"/>
      <c r="X453" s="673"/>
      <c r="Y453" s="673"/>
      <c r="Z453" s="673"/>
      <c r="AA453" s="673"/>
      <c r="AB453" s="673"/>
      <c r="AC453" s="673"/>
      <c r="AD453" s="673"/>
      <c r="AE453" s="673"/>
      <c r="AF453" s="673"/>
      <c r="AG453" s="673"/>
      <c r="AH453" s="673"/>
      <c r="AI453" s="673"/>
      <c r="AJ453" s="673"/>
      <c r="AK453" s="673"/>
      <c r="AL453" s="673"/>
      <c r="AM453" s="673"/>
      <c r="AN453" s="673"/>
      <c r="AO453" s="673"/>
      <c r="AP453" s="673"/>
      <c r="AQ453" s="673"/>
    </row>
    <row r="454" spans="2:16" ht="18.75" customHeight="1" thickBot="1">
      <c r="B454" s="691"/>
      <c r="C454" s="693"/>
      <c r="D454" s="693"/>
      <c r="E454" s="834"/>
      <c r="F454" s="603"/>
      <c r="G454" s="603"/>
      <c r="H454" s="603"/>
      <c r="J454" s="671"/>
      <c r="K454" s="662"/>
      <c r="L454" s="662"/>
      <c r="M454" s="663"/>
      <c r="N454" s="663"/>
      <c r="O454" s="662"/>
      <c r="P454" s="724"/>
    </row>
    <row r="455" spans="2:16" ht="18.75" customHeight="1">
      <c r="B455" s="696" t="s">
        <v>604</v>
      </c>
      <c r="C455" s="889"/>
      <c r="D455" s="889"/>
      <c r="E455" s="909"/>
      <c r="F455" s="909"/>
      <c r="G455" s="889"/>
      <c r="H455" s="910"/>
      <c r="I455" s="813"/>
      <c r="J455" s="779" t="s">
        <v>683</v>
      </c>
      <c r="K455" s="733">
        <v>16215284432.91</v>
      </c>
      <c r="L455" s="733">
        <v>15876279753.91</v>
      </c>
      <c r="M455" s="764">
        <v>1</v>
      </c>
      <c r="N455" s="764">
        <v>0.979093510175377</v>
      </c>
      <c r="O455" s="733">
        <v>-339004679</v>
      </c>
      <c r="P455" s="884">
        <v>-0.02090648982462296</v>
      </c>
    </row>
    <row r="456" spans="2:16" ht="39" customHeight="1" thickBot="1">
      <c r="B456" s="901" t="s">
        <v>681</v>
      </c>
      <c r="C456" s="659">
        <v>16660360940.46</v>
      </c>
      <c r="D456" s="659">
        <v>16184102976.689999</v>
      </c>
      <c r="E456" s="660"/>
      <c r="F456" s="660">
        <v>0.9714137067334838</v>
      </c>
      <c r="G456" s="659">
        <v>-476257963.77000046</v>
      </c>
      <c r="H456" s="807">
        <v>-0.028586293266516155</v>
      </c>
      <c r="I456" s="813"/>
      <c r="J456" s="725" t="s">
        <v>684</v>
      </c>
      <c r="K456" s="735">
        <v>16559316055.97</v>
      </c>
      <c r="L456" s="735">
        <v>16173309547.22</v>
      </c>
      <c r="M456" s="821"/>
      <c r="N456" s="822">
        <v>0.976689465467939</v>
      </c>
      <c r="O456" s="733">
        <v>-386006508.75</v>
      </c>
      <c r="P456" s="886">
        <v>-0.023310534532060948</v>
      </c>
    </row>
    <row r="457" spans="2:16" ht="18.75" customHeight="1" thickBot="1">
      <c r="B457" s="664" t="s">
        <v>605</v>
      </c>
      <c r="C457" s="659">
        <v>16182064426</v>
      </c>
      <c r="D457" s="659">
        <v>15705806462.23</v>
      </c>
      <c r="E457" s="660"/>
      <c r="F457" s="660">
        <v>0.9705687759464863</v>
      </c>
      <c r="G457" s="659">
        <v>-476257963.77000046</v>
      </c>
      <c r="H457" s="807">
        <v>-0.029431224053513755</v>
      </c>
      <c r="I457" s="813"/>
      <c r="J457" s="694" t="s">
        <v>1220</v>
      </c>
      <c r="K457" s="739">
        <v>17824855385.87</v>
      </c>
      <c r="L457" s="739">
        <v>17322910551.100006</v>
      </c>
      <c r="M457" s="739"/>
      <c r="N457" s="766">
        <v>0.9718401735159158</v>
      </c>
      <c r="O457" s="739">
        <v>-501944834.7699928</v>
      </c>
      <c r="P457" s="784">
        <v>-0.028159826484084195</v>
      </c>
    </row>
    <row r="458" spans="2:16" ht="18.75" customHeight="1">
      <c r="B458" s="664" t="s">
        <v>606</v>
      </c>
      <c r="C458" s="659">
        <v>16340288786.999998</v>
      </c>
      <c r="D458" s="659">
        <v>15838343952.230001</v>
      </c>
      <c r="E458" s="660">
        <v>1</v>
      </c>
      <c r="F458" s="660">
        <v>0.9692817647648104</v>
      </c>
      <c r="G458" s="659">
        <v>-501944834.76999664</v>
      </c>
      <c r="H458" s="807">
        <v>-0.030718235235189587</v>
      </c>
      <c r="I458" s="813"/>
      <c r="J458" s="832"/>
      <c r="K458" s="743"/>
      <c r="L458" s="743"/>
      <c r="M458" s="743"/>
      <c r="N458" s="692"/>
      <c r="O458" s="743"/>
      <c r="P458" s="692"/>
    </row>
    <row r="459" spans="2:16" ht="36" customHeight="1" thickBot="1">
      <c r="B459" s="902" t="s">
        <v>682</v>
      </c>
      <c r="C459" s="890">
        <v>16818585301.46</v>
      </c>
      <c r="D459" s="890">
        <v>16316640466.689999</v>
      </c>
      <c r="E459" s="911"/>
      <c r="F459" s="911">
        <v>0.9701553474461121</v>
      </c>
      <c r="G459" s="890">
        <v>-501944834.77000046</v>
      </c>
      <c r="H459" s="912">
        <v>-0.02984465255388795</v>
      </c>
      <c r="I459" s="813"/>
      <c r="J459" s="704"/>
      <c r="K459" s="643"/>
      <c r="L459" s="643"/>
      <c r="M459" s="643"/>
      <c r="N459" s="643"/>
      <c r="O459" s="643"/>
      <c r="P459" s="643"/>
    </row>
    <row r="460" spans="2:16" ht="36" customHeight="1" thickBot="1">
      <c r="B460" s="780"/>
      <c r="C460" s="813"/>
      <c r="D460" s="813"/>
      <c r="E460" s="831"/>
      <c r="F460" s="831"/>
      <c r="G460" s="813"/>
      <c r="H460" s="831"/>
      <c r="I460" s="831"/>
      <c r="J460" s="685" t="s">
        <v>687</v>
      </c>
      <c r="K460" s="739">
        <v>259269245.48999977</v>
      </c>
      <c r="L460" s="739">
        <v>143330919.4699993</v>
      </c>
      <c r="M460" s="739"/>
      <c r="N460" s="766">
        <v>0.5528265382927097</v>
      </c>
      <c r="O460" s="739">
        <v>-115938326.02000046</v>
      </c>
      <c r="P460" s="784">
        <v>-0.4471734617072903</v>
      </c>
    </row>
    <row r="461" spans="2:43" s="837" customFormat="1" ht="18.75" customHeight="1">
      <c r="B461" s="946" t="s">
        <v>241</v>
      </c>
      <c r="C461" s="946"/>
      <c r="D461" s="946"/>
      <c r="E461" s="946"/>
      <c r="F461" s="946"/>
      <c r="G461" s="946"/>
      <c r="H461" s="946"/>
      <c r="I461" s="706"/>
      <c r="J461" s="704"/>
      <c r="K461" s="704"/>
      <c r="L461" s="704"/>
      <c r="M461" s="704"/>
      <c r="N461" s="792"/>
      <c r="O461" s="792"/>
      <c r="P461" s="792"/>
      <c r="Q461" s="642"/>
      <c r="R461" s="602"/>
      <c r="S461" s="836"/>
      <c r="T461" s="836"/>
      <c r="U461" s="836"/>
      <c r="V461" s="836"/>
      <c r="W461" s="836"/>
      <c r="X461" s="836"/>
      <c r="Y461" s="836"/>
      <c r="Z461" s="836"/>
      <c r="AA461" s="836"/>
      <c r="AB461" s="836"/>
      <c r="AC461" s="836"/>
      <c r="AD461" s="836"/>
      <c r="AE461" s="836"/>
      <c r="AF461" s="836"/>
      <c r="AG461" s="836"/>
      <c r="AH461" s="836"/>
      <c r="AI461" s="836"/>
      <c r="AJ461" s="836"/>
      <c r="AK461" s="836"/>
      <c r="AL461" s="836"/>
      <c r="AM461" s="836"/>
      <c r="AN461" s="836"/>
      <c r="AO461" s="836"/>
      <c r="AP461" s="836"/>
      <c r="AQ461" s="836"/>
    </row>
    <row r="462" spans="2:43" s="837" customFormat="1" ht="18.75" customHeight="1">
      <c r="B462" s="941" t="s">
        <v>715</v>
      </c>
      <c r="C462" s="941"/>
      <c r="D462" s="941"/>
      <c r="E462" s="941"/>
      <c r="F462" s="941"/>
      <c r="G462" s="941"/>
      <c r="H462" s="941"/>
      <c r="I462" s="706"/>
      <c r="J462" s="704"/>
      <c r="K462" s="704"/>
      <c r="L462" s="705"/>
      <c r="M462" s="704"/>
      <c r="N462" s="792"/>
      <c r="O462" s="792"/>
      <c r="P462" s="792"/>
      <c r="Q462" s="836"/>
      <c r="R462" s="602"/>
      <c r="S462" s="836"/>
      <c r="T462" s="836"/>
      <c r="U462" s="836"/>
      <c r="V462" s="836"/>
      <c r="W462" s="836"/>
      <c r="X462" s="836"/>
      <c r="Y462" s="836"/>
      <c r="Z462" s="836"/>
      <c r="AA462" s="836"/>
      <c r="AB462" s="836"/>
      <c r="AC462" s="836"/>
      <c r="AD462" s="836"/>
      <c r="AE462" s="836"/>
      <c r="AF462" s="836"/>
      <c r="AG462" s="836"/>
      <c r="AH462" s="836"/>
      <c r="AI462" s="836"/>
      <c r="AJ462" s="836"/>
      <c r="AK462" s="836"/>
      <c r="AL462" s="836"/>
      <c r="AM462" s="836"/>
      <c r="AN462" s="836"/>
      <c r="AO462" s="836"/>
      <c r="AP462" s="836"/>
      <c r="AQ462" s="836"/>
    </row>
    <row r="463" spans="2:16" ht="18.75" customHeight="1" thickBot="1">
      <c r="B463" s="701"/>
      <c r="C463" s="750"/>
      <c r="D463" s="750"/>
      <c r="E463" s="750"/>
      <c r="F463" s="751"/>
      <c r="G463" s="751"/>
      <c r="H463" s="605" t="s">
        <v>62</v>
      </c>
      <c r="I463" s="871"/>
      <c r="J463" s="704"/>
      <c r="K463" s="704"/>
      <c r="L463" s="835"/>
      <c r="M463" s="704"/>
      <c r="N463" s="792"/>
      <c r="O463" s="792"/>
      <c r="P463" s="792"/>
    </row>
    <row r="464" spans="2:43" s="609" customFormat="1" ht="37.5" customHeight="1">
      <c r="B464" s="606"/>
      <c r="C464" s="607"/>
      <c r="D464" s="942" t="s">
        <v>412</v>
      </c>
      <c r="E464" s="942" t="s">
        <v>413</v>
      </c>
      <c r="F464" s="942" t="s">
        <v>414</v>
      </c>
      <c r="G464" s="944" t="s">
        <v>418</v>
      </c>
      <c r="H464" s="945"/>
      <c r="I464" s="866"/>
      <c r="J464" s="704"/>
      <c r="K464" s="704"/>
      <c r="L464" s="795"/>
      <c r="M464" s="704"/>
      <c r="N464" s="792"/>
      <c r="O464" s="792"/>
      <c r="P464" s="792"/>
      <c r="Q464" s="608"/>
      <c r="R464" s="608"/>
      <c r="S464" s="608"/>
      <c r="T464" s="608"/>
      <c r="U464" s="608"/>
      <c r="V464" s="608"/>
      <c r="W464" s="608"/>
      <c r="X464" s="608"/>
      <c r="Y464" s="608"/>
      <c r="Z464" s="608"/>
      <c r="AA464" s="608"/>
      <c r="AB464" s="608"/>
      <c r="AC464" s="608"/>
      <c r="AD464" s="608"/>
      <c r="AE464" s="608"/>
      <c r="AF464" s="608"/>
      <c r="AG464" s="608"/>
      <c r="AH464" s="608"/>
      <c r="AI464" s="608"/>
      <c r="AJ464" s="608"/>
      <c r="AK464" s="608"/>
      <c r="AL464" s="608"/>
      <c r="AM464" s="608"/>
      <c r="AN464" s="608"/>
      <c r="AO464" s="608"/>
      <c r="AP464" s="608"/>
      <c r="AQ464" s="608"/>
    </row>
    <row r="465" spans="2:43" s="609" customFormat="1" ht="68.25" customHeight="1">
      <c r="B465" s="610" t="s">
        <v>1080</v>
      </c>
      <c r="C465" s="611" t="s">
        <v>411</v>
      </c>
      <c r="D465" s="943"/>
      <c r="E465" s="943"/>
      <c r="F465" s="943"/>
      <c r="G465" s="707" t="s">
        <v>416</v>
      </c>
      <c r="H465" s="708" t="s">
        <v>419</v>
      </c>
      <c r="I465" s="866"/>
      <c r="J465" s="864"/>
      <c r="K465" s="864"/>
      <c r="L465" s="864"/>
      <c r="M465" s="864"/>
      <c r="N465" s="865"/>
      <c r="O465" s="865"/>
      <c r="P465" s="865"/>
      <c r="Q465" s="608"/>
      <c r="R465" s="608"/>
      <c r="S465" s="608"/>
      <c r="T465" s="608"/>
      <c r="U465" s="608"/>
      <c r="V465" s="608"/>
      <c r="W465" s="608"/>
      <c r="X465" s="608"/>
      <c r="Y465" s="608"/>
      <c r="Z465" s="608"/>
      <c r="AA465" s="608"/>
      <c r="AB465" s="608"/>
      <c r="AC465" s="608"/>
      <c r="AD465" s="608"/>
      <c r="AE465" s="608"/>
      <c r="AF465" s="608"/>
      <c r="AG465" s="608"/>
      <c r="AH465" s="608"/>
      <c r="AI465" s="608"/>
      <c r="AJ465" s="608"/>
      <c r="AK465" s="608"/>
      <c r="AL465" s="608"/>
      <c r="AM465" s="608"/>
      <c r="AN465" s="608"/>
      <c r="AO465" s="608"/>
      <c r="AP465" s="608"/>
      <c r="AQ465" s="608"/>
    </row>
    <row r="466" spans="2:43" s="609" customFormat="1" ht="37.5" customHeight="1">
      <c r="B466" s="709"/>
      <c r="C466" s="710">
        <v>2011</v>
      </c>
      <c r="D466" s="711">
        <v>2011</v>
      </c>
      <c r="E466" s="711">
        <v>2011</v>
      </c>
      <c r="F466" s="711">
        <v>2011</v>
      </c>
      <c r="G466" s="711">
        <v>2011</v>
      </c>
      <c r="H466" s="712">
        <v>2011</v>
      </c>
      <c r="I466" s="872"/>
      <c r="J466" s="941" t="s">
        <v>241</v>
      </c>
      <c r="K466" s="941"/>
      <c r="L466" s="941"/>
      <c r="M466" s="941"/>
      <c r="N466" s="941"/>
      <c r="O466" s="941"/>
      <c r="P466" s="941"/>
      <c r="Q466" s="608"/>
      <c r="R466" s="608"/>
      <c r="S466" s="608"/>
      <c r="T466" s="608"/>
      <c r="U466" s="608"/>
      <c r="V466" s="608"/>
      <c r="W466" s="608"/>
      <c r="X466" s="608"/>
      <c r="Y466" s="608"/>
      <c r="Z466" s="608"/>
      <c r="AA466" s="608"/>
      <c r="AB466" s="608"/>
      <c r="AC466" s="608"/>
      <c r="AD466" s="608"/>
      <c r="AE466" s="608"/>
      <c r="AF466" s="608"/>
      <c r="AG466" s="608"/>
      <c r="AH466" s="608"/>
      <c r="AI466" s="608"/>
      <c r="AJ466" s="608"/>
      <c r="AK466" s="608"/>
      <c r="AL466" s="608"/>
      <c r="AM466" s="608"/>
      <c r="AN466" s="608"/>
      <c r="AO466" s="608"/>
      <c r="AP466" s="608"/>
      <c r="AQ466" s="608"/>
    </row>
    <row r="467" spans="2:16" ht="19.5">
      <c r="B467" s="713"/>
      <c r="C467" s="618" t="s">
        <v>1131</v>
      </c>
      <c r="D467" s="619" t="s">
        <v>1129</v>
      </c>
      <c r="E467" s="619" t="s">
        <v>1130</v>
      </c>
      <c r="F467" s="620" t="s">
        <v>415</v>
      </c>
      <c r="G467" s="621" t="s">
        <v>417</v>
      </c>
      <c r="H467" s="622" t="s">
        <v>17</v>
      </c>
      <c r="I467" s="873"/>
      <c r="J467" s="941" t="s">
        <v>715</v>
      </c>
      <c r="K467" s="941"/>
      <c r="L467" s="941"/>
      <c r="M467" s="941"/>
      <c r="N467" s="941"/>
      <c r="O467" s="941"/>
      <c r="P467" s="941"/>
    </row>
    <row r="468" spans="2:16" ht="18.75" customHeight="1" thickBot="1">
      <c r="B468" s="623" t="s">
        <v>420</v>
      </c>
      <c r="C468" s="797">
        <v>0</v>
      </c>
      <c r="D468" s="800">
        <v>0</v>
      </c>
      <c r="E468" s="798"/>
      <c r="F468" s="798"/>
      <c r="G468" s="800">
        <v>0</v>
      </c>
      <c r="H468" s="838"/>
      <c r="I468" s="829"/>
      <c r="J468" s="701"/>
      <c r="K468" s="750"/>
      <c r="L468" s="750"/>
      <c r="M468" s="750"/>
      <c r="N468" s="751"/>
      <c r="O468" s="751"/>
      <c r="P468" s="605" t="s">
        <v>62</v>
      </c>
    </row>
    <row r="469" spans="2:16" ht="18.75" customHeight="1">
      <c r="B469" s="633" t="s">
        <v>421</v>
      </c>
      <c r="C469" s="839">
        <v>0</v>
      </c>
      <c r="D469" s="839">
        <v>0</v>
      </c>
      <c r="E469" s="798"/>
      <c r="F469" s="798"/>
      <c r="G469" s="840">
        <v>0</v>
      </c>
      <c r="H469" s="838"/>
      <c r="I469" s="829"/>
      <c r="J469" s="606"/>
      <c r="K469" s="607"/>
      <c r="L469" s="607" t="s">
        <v>412</v>
      </c>
      <c r="M469" s="607" t="s">
        <v>413</v>
      </c>
      <c r="N469" s="607" t="s">
        <v>414</v>
      </c>
      <c r="O469" s="897" t="s">
        <v>418</v>
      </c>
      <c r="P469" s="898"/>
    </row>
    <row r="470" spans="2:16" ht="18.75" customHeight="1">
      <c r="B470" s="635" t="s">
        <v>422</v>
      </c>
      <c r="C470" s="797">
        <v>0</v>
      </c>
      <c r="D470" s="800">
        <v>0</v>
      </c>
      <c r="E470" s="798"/>
      <c r="F470" s="798"/>
      <c r="G470" s="800">
        <v>0</v>
      </c>
      <c r="H470" s="838"/>
      <c r="I470" s="829"/>
      <c r="J470" s="610" t="s">
        <v>1080</v>
      </c>
      <c r="K470" s="611" t="s">
        <v>411</v>
      </c>
      <c r="L470" s="611"/>
      <c r="M470" s="611"/>
      <c r="N470" s="611"/>
      <c r="O470" s="707" t="s">
        <v>416</v>
      </c>
      <c r="P470" s="708" t="s">
        <v>419</v>
      </c>
    </row>
    <row r="471" spans="2:16" ht="18.75" customHeight="1">
      <c r="B471" s="636" t="s">
        <v>423</v>
      </c>
      <c r="C471" s="802">
        <v>40053806.66</v>
      </c>
      <c r="D471" s="802">
        <v>40053806.66</v>
      </c>
      <c r="E471" s="841"/>
      <c r="F471" s="841"/>
      <c r="G471" s="802">
        <v>0</v>
      </c>
      <c r="H471" s="842"/>
      <c r="I471" s="870"/>
      <c r="J471" s="709"/>
      <c r="K471" s="614">
        <v>2011</v>
      </c>
      <c r="L471" s="615">
        <v>2011</v>
      </c>
      <c r="M471" s="615">
        <v>2011</v>
      </c>
      <c r="N471" s="615">
        <v>2011</v>
      </c>
      <c r="O471" s="615">
        <v>2011</v>
      </c>
      <c r="P471" s="616">
        <v>2011</v>
      </c>
    </row>
    <row r="472" spans="2:16" ht="18.75" customHeight="1">
      <c r="B472" s="636" t="s">
        <v>424</v>
      </c>
      <c r="C472" s="802">
        <v>490284826</v>
      </c>
      <c r="D472" s="802">
        <v>490284826</v>
      </c>
      <c r="E472" s="841"/>
      <c r="F472" s="803">
        <v>1</v>
      </c>
      <c r="G472" s="802">
        <v>0</v>
      </c>
      <c r="H472" s="842">
        <v>0</v>
      </c>
      <c r="I472" s="870"/>
      <c r="J472" s="713"/>
      <c r="K472" s="618" t="s">
        <v>1131</v>
      </c>
      <c r="L472" s="619" t="s">
        <v>1129</v>
      </c>
      <c r="M472" s="619" t="s">
        <v>1130</v>
      </c>
      <c r="N472" s="620" t="s">
        <v>415</v>
      </c>
      <c r="O472" s="621" t="s">
        <v>417</v>
      </c>
      <c r="P472" s="622" t="s">
        <v>17</v>
      </c>
    </row>
    <row r="473" spans="2:23" ht="18.75" customHeight="1">
      <c r="B473" s="646" t="s">
        <v>1588</v>
      </c>
      <c r="C473" s="806">
        <v>530338632.65999997</v>
      </c>
      <c r="D473" s="806">
        <v>530338632.65999997</v>
      </c>
      <c r="E473" s="799"/>
      <c r="F473" s="799">
        <v>1</v>
      </c>
      <c r="G473" s="806">
        <v>0</v>
      </c>
      <c r="H473" s="801">
        <v>0</v>
      </c>
      <c r="I473" s="829"/>
      <c r="J473" s="874"/>
      <c r="K473" s="714"/>
      <c r="L473" s="715"/>
      <c r="M473" s="715"/>
      <c r="N473" s="653"/>
      <c r="O473" s="716"/>
      <c r="P473" s="717"/>
      <c r="Q473" s="642"/>
      <c r="S473" s="642"/>
      <c r="T473" s="642"/>
      <c r="U473" s="642"/>
      <c r="V473" s="642"/>
      <c r="W473" s="642"/>
    </row>
    <row r="474" spans="2:23" ht="18.75" customHeight="1">
      <c r="B474" s="655"/>
      <c r="C474" s="641"/>
      <c r="D474" s="641"/>
      <c r="E474" s="630"/>
      <c r="F474" s="630"/>
      <c r="G474" s="631"/>
      <c r="H474" s="632"/>
      <c r="I474" s="829"/>
      <c r="J474" s="874"/>
      <c r="K474" s="714"/>
      <c r="L474" s="715"/>
      <c r="M474" s="715"/>
      <c r="N474" s="653"/>
      <c r="O474" s="716"/>
      <c r="P474" s="717"/>
      <c r="Q474" s="642"/>
      <c r="S474" s="642"/>
      <c r="T474" s="642"/>
      <c r="U474" s="642"/>
      <c r="V474" s="642"/>
      <c r="W474" s="642"/>
    </row>
    <row r="475" spans="2:18" ht="18.75" customHeight="1">
      <c r="B475" s="655" t="s">
        <v>82</v>
      </c>
      <c r="C475" s="659">
        <v>344803300</v>
      </c>
      <c r="D475" s="659">
        <v>359614776.26</v>
      </c>
      <c r="E475" s="660">
        <v>0.05891159644514041</v>
      </c>
      <c r="F475" s="660">
        <v>1.0429563065666714</v>
      </c>
      <c r="G475" s="641">
        <v>14811476.25999999</v>
      </c>
      <c r="H475" s="632">
        <v>0.042956306566671466</v>
      </c>
      <c r="I475" s="829"/>
      <c r="J475" s="874"/>
      <c r="K475" s="714"/>
      <c r="L475" s="715"/>
      <c r="M475" s="715"/>
      <c r="N475" s="653"/>
      <c r="O475" s="716"/>
      <c r="P475" s="717"/>
      <c r="Q475" s="698"/>
      <c r="R475" s="834"/>
    </row>
    <row r="476" spans="2:16" ht="18.75" customHeight="1">
      <c r="B476" s="666" t="s">
        <v>341</v>
      </c>
      <c r="C476" s="648">
        <v>0</v>
      </c>
      <c r="D476" s="648">
        <v>0</v>
      </c>
      <c r="E476" s="644">
        <v>0</v>
      </c>
      <c r="F476" s="644"/>
      <c r="G476" s="843">
        <v>0</v>
      </c>
      <c r="H476" s="632"/>
      <c r="I476" s="829"/>
      <c r="J476" s="877"/>
      <c r="K476" s="714"/>
      <c r="L476" s="714"/>
      <c r="M476" s="714"/>
      <c r="N476" s="719" t="s">
        <v>590</v>
      </c>
      <c r="O476" s="720" t="s">
        <v>590</v>
      </c>
      <c r="P476" s="721"/>
    </row>
    <row r="477" spans="2:19" ht="18.75" customHeight="1">
      <c r="B477" s="666" t="s">
        <v>24</v>
      </c>
      <c r="C477" s="648">
        <v>344765300</v>
      </c>
      <c r="D477" s="648">
        <v>359571225.09999996</v>
      </c>
      <c r="E477" s="644">
        <v>0.05890446195420174</v>
      </c>
      <c r="F477" s="644">
        <v>1.0429449399345003</v>
      </c>
      <c r="G477" s="843">
        <v>14805925.099999964</v>
      </c>
      <c r="H477" s="632">
        <v>0.04294493993450026</v>
      </c>
      <c r="I477" s="829"/>
      <c r="J477" s="877"/>
      <c r="K477" s="714"/>
      <c r="L477" s="714"/>
      <c r="M477" s="714"/>
      <c r="N477" s="719" t="s">
        <v>590</v>
      </c>
      <c r="O477" s="720" t="s">
        <v>590</v>
      </c>
      <c r="P477" s="721"/>
      <c r="Q477" s="814"/>
      <c r="R477" s="689"/>
      <c r="S477" s="689"/>
    </row>
    <row r="478" spans="2:16" ht="18.75" customHeight="1">
      <c r="B478" s="666" t="s">
        <v>27</v>
      </c>
      <c r="C478" s="648">
        <v>38000</v>
      </c>
      <c r="D478" s="648">
        <v>43551.16</v>
      </c>
      <c r="E478" s="644">
        <v>7.134490938667029E-06</v>
      </c>
      <c r="F478" s="644">
        <v>1.1460831578947368</v>
      </c>
      <c r="G478" s="843">
        <v>5551.16</v>
      </c>
      <c r="H478" s="632">
        <v>0.14608315789473675</v>
      </c>
      <c r="I478" s="829"/>
      <c r="J478" s="651"/>
      <c r="K478" s="662"/>
      <c r="L478" s="662"/>
      <c r="M478" s="662"/>
      <c r="N478" s="663" t="s">
        <v>590</v>
      </c>
      <c r="O478" s="723" t="s">
        <v>590</v>
      </c>
      <c r="P478" s="724"/>
    </row>
    <row r="479" spans="2:16" ht="18.75" customHeight="1">
      <c r="B479" s="664"/>
      <c r="C479" s="648"/>
      <c r="D479" s="648"/>
      <c r="E479" s="644"/>
      <c r="F479" s="644"/>
      <c r="G479" s="641"/>
      <c r="H479" s="632"/>
      <c r="I479" s="829"/>
      <c r="J479" s="651"/>
      <c r="K479" s="662"/>
      <c r="L479" s="662"/>
      <c r="M479" s="662"/>
      <c r="N479" s="663" t="s">
        <v>590</v>
      </c>
      <c r="O479" s="723" t="s">
        <v>590</v>
      </c>
      <c r="P479" s="724"/>
    </row>
    <row r="480" spans="2:17" ht="18.75" customHeight="1">
      <c r="B480" s="666"/>
      <c r="C480" s="648"/>
      <c r="D480" s="648"/>
      <c r="E480" s="644"/>
      <c r="F480" s="644"/>
      <c r="G480" s="641"/>
      <c r="H480" s="632"/>
      <c r="I480" s="829"/>
      <c r="J480" s="655" t="s">
        <v>82</v>
      </c>
      <c r="K480" s="656">
        <v>6192992</v>
      </c>
      <c r="L480" s="656">
        <v>4409704.25</v>
      </c>
      <c r="M480" s="657">
        <v>0.0007046358818539634</v>
      </c>
      <c r="N480" s="657">
        <v>0.7120474642951259</v>
      </c>
      <c r="O480" s="656">
        <v>-1783287.75</v>
      </c>
      <c r="P480" s="658">
        <v>-0.28795253570487417</v>
      </c>
      <c r="Q480" s="814"/>
    </row>
    <row r="481" spans="2:16" ht="18.75" customHeight="1">
      <c r="B481" s="655" t="s">
        <v>848</v>
      </c>
      <c r="C481" s="659">
        <v>12800739520</v>
      </c>
      <c r="D481" s="659">
        <v>5447667619.54</v>
      </c>
      <c r="E481" s="660">
        <v>0.8924293926609055</v>
      </c>
      <c r="F481" s="660">
        <v>0.4255744452129903</v>
      </c>
      <c r="G481" s="641">
        <v>-7353071900.46</v>
      </c>
      <c r="H481" s="632">
        <v>-0.5744255547870096</v>
      </c>
      <c r="I481" s="829"/>
      <c r="J481" s="664" t="s">
        <v>949</v>
      </c>
      <c r="K481" s="656">
        <v>6192992</v>
      </c>
      <c r="L481" s="656">
        <v>4409704.25</v>
      </c>
      <c r="M481" s="657">
        <v>0.0007046358818539634</v>
      </c>
      <c r="N481" s="657">
        <v>0.7120474642951259</v>
      </c>
      <c r="O481" s="656">
        <v>-1783287.75</v>
      </c>
      <c r="P481" s="658">
        <v>-0.28795253570487417</v>
      </c>
    </row>
    <row r="482" spans="2:16" ht="18.75" customHeight="1">
      <c r="B482" s="666"/>
      <c r="C482" s="648"/>
      <c r="D482" s="648"/>
      <c r="E482" s="644"/>
      <c r="F482" s="644"/>
      <c r="G482" s="641"/>
      <c r="H482" s="632"/>
      <c r="I482" s="829"/>
      <c r="J482" s="665" t="s">
        <v>1040</v>
      </c>
      <c r="K482" s="662">
        <v>2594807</v>
      </c>
      <c r="L482" s="662">
        <v>2100522.82</v>
      </c>
      <c r="M482" s="663">
        <v>0.0003356469426776352</v>
      </c>
      <c r="N482" s="663">
        <v>0.8095102333237116</v>
      </c>
      <c r="O482" s="662">
        <v>-494284.18</v>
      </c>
      <c r="P482" s="724">
        <v>-0.19048976667628834</v>
      </c>
    </row>
    <row r="483" spans="2:16" ht="18.75" customHeight="1">
      <c r="B483" s="664" t="s">
        <v>406</v>
      </c>
      <c r="C483" s="659">
        <v>12800739520</v>
      </c>
      <c r="D483" s="659">
        <v>5447667619.54</v>
      </c>
      <c r="E483" s="660">
        <v>0.8924293926609055</v>
      </c>
      <c r="F483" s="660">
        <v>0.4255744452129903</v>
      </c>
      <c r="G483" s="641">
        <v>-7353071900.46</v>
      </c>
      <c r="H483" s="632">
        <v>-0.5744255547870096</v>
      </c>
      <c r="I483" s="829"/>
      <c r="J483" s="665" t="s">
        <v>950</v>
      </c>
      <c r="K483" s="662">
        <v>3598185</v>
      </c>
      <c r="L483" s="662">
        <v>2309181.43</v>
      </c>
      <c r="M483" s="663">
        <v>0.00036898893917632823</v>
      </c>
      <c r="N483" s="663">
        <v>0.6417628415437227</v>
      </c>
      <c r="O483" s="662">
        <v>-1289003.57</v>
      </c>
      <c r="P483" s="724">
        <v>-0.35823715845627735</v>
      </c>
    </row>
    <row r="484" spans="2:16" ht="18.75" customHeight="1">
      <c r="B484" s="665" t="s">
        <v>993</v>
      </c>
      <c r="C484" s="648">
        <v>12790738520</v>
      </c>
      <c r="D484" s="648">
        <v>5447667619.54</v>
      </c>
      <c r="E484" s="644">
        <v>0.8924293926609055</v>
      </c>
      <c r="F484" s="644">
        <v>0.4259071992615482</v>
      </c>
      <c r="G484" s="843">
        <v>-7343070900.46</v>
      </c>
      <c r="H484" s="844">
        <v>-0.5740928007384518</v>
      </c>
      <c r="I484" s="869"/>
      <c r="J484" s="665"/>
      <c r="K484" s="662"/>
      <c r="L484" s="662"/>
      <c r="M484" s="663"/>
      <c r="N484" s="663" t="s">
        <v>590</v>
      </c>
      <c r="O484" s="662"/>
      <c r="P484" s="724"/>
    </row>
    <row r="485" spans="2:16" ht="18.75" customHeight="1">
      <c r="B485" s="665" t="s">
        <v>713</v>
      </c>
      <c r="C485" s="648">
        <v>10001000</v>
      </c>
      <c r="D485" s="648">
        <v>0</v>
      </c>
      <c r="E485" s="644">
        <v>0</v>
      </c>
      <c r="F485" s="644">
        <v>0</v>
      </c>
      <c r="G485" s="843">
        <v>-10001000</v>
      </c>
      <c r="H485" s="844">
        <v>-1</v>
      </c>
      <c r="I485" s="869"/>
      <c r="J485" s="666"/>
      <c r="K485" s="662"/>
      <c r="L485" s="662"/>
      <c r="M485" s="663"/>
      <c r="N485" s="663" t="s">
        <v>590</v>
      </c>
      <c r="O485" s="662"/>
      <c r="P485" s="724"/>
    </row>
    <row r="486" spans="2:16" ht="18.75" customHeight="1">
      <c r="B486" s="665"/>
      <c r="C486" s="648"/>
      <c r="D486" s="648"/>
      <c r="E486" s="644"/>
      <c r="F486" s="644"/>
      <c r="G486" s="641"/>
      <c r="H486" s="632"/>
      <c r="I486" s="829"/>
      <c r="J486" s="655" t="s">
        <v>848</v>
      </c>
      <c r="K486" s="656">
        <v>13680321525</v>
      </c>
      <c r="L486" s="656">
        <v>6253722138.820002</v>
      </c>
      <c r="M486" s="657">
        <v>0.999295364118146</v>
      </c>
      <c r="N486" s="657">
        <v>0.45713268707842025</v>
      </c>
      <c r="O486" s="656">
        <v>-7426599386.179998</v>
      </c>
      <c r="P486" s="658">
        <v>-0.5428673129215797</v>
      </c>
    </row>
    <row r="487" spans="2:16" ht="18.75" customHeight="1">
      <c r="B487" s="664"/>
      <c r="C487" s="659"/>
      <c r="D487" s="659"/>
      <c r="E487" s="660"/>
      <c r="F487" s="660"/>
      <c r="G487" s="641"/>
      <c r="H487" s="632"/>
      <c r="I487" s="829"/>
      <c r="J487" s="666"/>
      <c r="K487" s="656"/>
      <c r="L487" s="656"/>
      <c r="M487" s="657"/>
      <c r="N487" s="657"/>
      <c r="O487" s="656"/>
      <c r="P487" s="658"/>
    </row>
    <row r="488" spans="2:43" s="690" customFormat="1" ht="18.75" customHeight="1">
      <c r="B488" s="664" t="s">
        <v>796</v>
      </c>
      <c r="C488" s="659">
        <v>344031623.06</v>
      </c>
      <c r="D488" s="659">
        <v>297029793.31</v>
      </c>
      <c r="E488" s="660">
        <v>0.048659010893954045</v>
      </c>
      <c r="F488" s="660">
        <v>0.8633793331789074</v>
      </c>
      <c r="G488" s="641">
        <v>-47001829.75</v>
      </c>
      <c r="H488" s="632">
        <v>-0.13662066682109267</v>
      </c>
      <c r="I488" s="829"/>
      <c r="J488" s="664" t="s">
        <v>1042</v>
      </c>
      <c r="K488" s="656">
        <v>13680321525</v>
      </c>
      <c r="L488" s="656">
        <v>6253722138.820002</v>
      </c>
      <c r="M488" s="657">
        <v>0.999295364118146</v>
      </c>
      <c r="N488" s="657">
        <v>0.45713268707842025</v>
      </c>
      <c r="O488" s="656">
        <v>-7426599386.179998</v>
      </c>
      <c r="P488" s="658">
        <v>-0.5428673129215797</v>
      </c>
      <c r="Q488" s="689"/>
      <c r="R488" s="602"/>
      <c r="S488" s="689"/>
      <c r="T488" s="689"/>
      <c r="U488" s="689"/>
      <c r="V488" s="689"/>
      <c r="W488" s="689"/>
      <c r="X488" s="689"/>
      <c r="Y488" s="689"/>
      <c r="Z488" s="689"/>
      <c r="AA488" s="689"/>
      <c r="AB488" s="689"/>
      <c r="AC488" s="689"/>
      <c r="AD488" s="689"/>
      <c r="AE488" s="689"/>
      <c r="AF488" s="689"/>
      <c r="AG488" s="689"/>
      <c r="AH488" s="689"/>
      <c r="AI488" s="689"/>
      <c r="AJ488" s="689"/>
      <c r="AK488" s="689"/>
      <c r="AL488" s="689"/>
      <c r="AM488" s="689"/>
      <c r="AN488" s="689"/>
      <c r="AO488" s="689"/>
      <c r="AP488" s="689"/>
      <c r="AQ488" s="689"/>
    </row>
    <row r="489" spans="2:43" s="690" customFormat="1" ht="18.75" customHeight="1">
      <c r="B489" s="665" t="s">
        <v>90</v>
      </c>
      <c r="C489" s="648">
        <v>337100</v>
      </c>
      <c r="D489" s="648">
        <v>337100</v>
      </c>
      <c r="E489" s="644">
        <v>5.52232568644476E-05</v>
      </c>
      <c r="F489" s="644">
        <v>1</v>
      </c>
      <c r="G489" s="648">
        <v>0</v>
      </c>
      <c r="H489" s="844">
        <v>0</v>
      </c>
      <c r="I489" s="869"/>
      <c r="J489" s="665" t="s">
        <v>951</v>
      </c>
      <c r="K489" s="662">
        <v>0</v>
      </c>
      <c r="L489" s="662">
        <v>0</v>
      </c>
      <c r="M489" s="663">
        <v>0</v>
      </c>
      <c r="N489" s="663" t="s">
        <v>590</v>
      </c>
      <c r="O489" s="656">
        <v>0</v>
      </c>
      <c r="P489" s="724"/>
      <c r="Q489" s="689"/>
      <c r="R489" s="602"/>
      <c r="S489" s="689"/>
      <c r="T489" s="689"/>
      <c r="U489" s="689"/>
      <c r="V489" s="689"/>
      <c r="W489" s="689"/>
      <c r="X489" s="689"/>
      <c r="Y489" s="689"/>
      <c r="Z489" s="689"/>
      <c r="AA489" s="689"/>
      <c r="AB489" s="689"/>
      <c r="AC489" s="689"/>
      <c r="AD489" s="689"/>
      <c r="AE489" s="689"/>
      <c r="AF489" s="689"/>
      <c r="AG489" s="689"/>
      <c r="AH489" s="689"/>
      <c r="AI489" s="689"/>
      <c r="AJ489" s="689"/>
      <c r="AK489" s="689"/>
      <c r="AL489" s="689"/>
      <c r="AM489" s="689"/>
      <c r="AN489" s="689"/>
      <c r="AO489" s="689"/>
      <c r="AP489" s="689"/>
      <c r="AQ489" s="689"/>
    </row>
    <row r="490" spans="2:43" s="690" customFormat="1" ht="18.75" customHeight="1">
      <c r="B490" s="665" t="s">
        <v>91</v>
      </c>
      <c r="C490" s="648">
        <v>293007652.06</v>
      </c>
      <c r="D490" s="648">
        <v>293007652.06</v>
      </c>
      <c r="E490" s="644">
        <v>0.04800010926418887</v>
      </c>
      <c r="F490" s="644">
        <v>1</v>
      </c>
      <c r="G490" s="648">
        <v>0</v>
      </c>
      <c r="H490" s="844">
        <v>0</v>
      </c>
      <c r="I490" s="869"/>
      <c r="J490" s="665" t="s">
        <v>993</v>
      </c>
      <c r="K490" s="662">
        <v>13678996525</v>
      </c>
      <c r="L490" s="662">
        <v>6253695682.020001</v>
      </c>
      <c r="M490" s="663">
        <v>0.9992911365306385</v>
      </c>
      <c r="N490" s="663">
        <v>0.457175032583028</v>
      </c>
      <c r="O490" s="662">
        <v>-7425300842.979999</v>
      </c>
      <c r="P490" s="724">
        <v>-0.5428249674169721</v>
      </c>
      <c r="Q490" s="689"/>
      <c r="R490" s="602"/>
      <c r="S490" s="689"/>
      <c r="T490" s="689"/>
      <c r="U490" s="689"/>
      <c r="V490" s="689"/>
      <c r="W490" s="689"/>
      <c r="X490" s="689"/>
      <c r="Y490" s="689"/>
      <c r="Z490" s="689"/>
      <c r="AA490" s="689"/>
      <c r="AB490" s="689"/>
      <c r="AC490" s="689"/>
      <c r="AD490" s="689"/>
      <c r="AE490" s="689"/>
      <c r="AF490" s="689"/>
      <c r="AG490" s="689"/>
      <c r="AH490" s="689"/>
      <c r="AI490" s="689"/>
      <c r="AJ490" s="689"/>
      <c r="AK490" s="689"/>
      <c r="AL490" s="689"/>
      <c r="AM490" s="689"/>
      <c r="AN490" s="689"/>
      <c r="AO490" s="689"/>
      <c r="AP490" s="689"/>
      <c r="AQ490" s="689"/>
    </row>
    <row r="491" spans="2:43" s="690" customFormat="1" ht="18.75" customHeight="1">
      <c r="B491" s="665" t="s">
        <v>244</v>
      </c>
      <c r="C491" s="648">
        <v>25000000</v>
      </c>
      <c r="D491" s="648">
        <v>3685041.25</v>
      </c>
      <c r="E491" s="644">
        <v>0.000603678372900727</v>
      </c>
      <c r="F491" s="644">
        <v>0.14740165</v>
      </c>
      <c r="G491" s="648">
        <v>-21314958.75</v>
      </c>
      <c r="H491" s="844">
        <v>-0.85259835</v>
      </c>
      <c r="I491" s="869"/>
      <c r="J491" s="665" t="s">
        <v>919</v>
      </c>
      <c r="K491" s="662">
        <v>1325000</v>
      </c>
      <c r="L491" s="662">
        <v>26456.8</v>
      </c>
      <c r="M491" s="663">
        <v>4.2275875074919005E-06</v>
      </c>
      <c r="N491" s="663">
        <v>0.019967396226415097</v>
      </c>
      <c r="O491" s="662">
        <v>-1298543.2</v>
      </c>
      <c r="P491" s="724">
        <v>-0.9800326037735849</v>
      </c>
      <c r="Q491" s="689"/>
      <c r="R491" s="602"/>
      <c r="S491" s="689"/>
      <c r="T491" s="689"/>
      <c r="U491" s="689"/>
      <c r="V491" s="689"/>
      <c r="W491" s="689"/>
      <c r="X491" s="689"/>
      <c r="Y491" s="689"/>
      <c r="Z491" s="689"/>
      <c r="AA491" s="689"/>
      <c r="AB491" s="689"/>
      <c r="AC491" s="689"/>
      <c r="AD491" s="689"/>
      <c r="AE491" s="689"/>
      <c r="AF491" s="689"/>
      <c r="AG491" s="689"/>
      <c r="AH491" s="689"/>
      <c r="AI491" s="689"/>
      <c r="AJ491" s="689"/>
      <c r="AK491" s="689"/>
      <c r="AL491" s="689"/>
      <c r="AM491" s="689"/>
      <c r="AN491" s="689"/>
      <c r="AO491" s="689"/>
      <c r="AP491" s="689"/>
      <c r="AQ491" s="689"/>
    </row>
    <row r="492" spans="2:43" s="690" customFormat="1" ht="18.75" customHeight="1">
      <c r="B492" s="665" t="s">
        <v>857</v>
      </c>
      <c r="C492" s="648">
        <v>25686871</v>
      </c>
      <c r="D492" s="648">
        <v>0</v>
      </c>
      <c r="E492" s="644">
        <v>0</v>
      </c>
      <c r="F492" s="644">
        <v>0</v>
      </c>
      <c r="G492" s="648">
        <v>-25686871</v>
      </c>
      <c r="H492" s="844">
        <v>-1</v>
      </c>
      <c r="I492" s="869"/>
      <c r="J492" s="665"/>
      <c r="K492" s="662"/>
      <c r="L492" s="662"/>
      <c r="M492" s="663"/>
      <c r="N492" s="663" t="s">
        <v>590</v>
      </c>
      <c r="O492" s="662"/>
      <c r="P492" s="724"/>
      <c r="Q492" s="689"/>
      <c r="R492" s="602"/>
      <c r="S492" s="689"/>
      <c r="T492" s="689"/>
      <c r="U492" s="689"/>
      <c r="V492" s="689"/>
      <c r="W492" s="689"/>
      <c r="X492" s="689"/>
      <c r="Y492" s="689"/>
      <c r="Z492" s="689"/>
      <c r="AA492" s="689"/>
      <c r="AB492" s="689"/>
      <c r="AC492" s="689"/>
      <c r="AD492" s="689"/>
      <c r="AE492" s="689"/>
      <c r="AF492" s="689"/>
      <c r="AG492" s="689"/>
      <c r="AH492" s="689"/>
      <c r="AI492" s="689"/>
      <c r="AJ492" s="689"/>
      <c r="AK492" s="689"/>
      <c r="AL492" s="689"/>
      <c r="AM492" s="689"/>
      <c r="AN492" s="689"/>
      <c r="AO492" s="689"/>
      <c r="AP492" s="689"/>
      <c r="AQ492" s="689"/>
    </row>
    <row r="493" spans="2:16" ht="18.75" customHeight="1" thickBot="1">
      <c r="B493" s="664"/>
      <c r="C493" s="648"/>
      <c r="D493" s="648"/>
      <c r="E493" s="644"/>
      <c r="F493" s="644"/>
      <c r="G493" s="845"/>
      <c r="H493" s="838"/>
      <c r="I493" s="829"/>
      <c r="J493" s="664" t="s">
        <v>221</v>
      </c>
      <c r="K493" s="656">
        <v>333398558.72</v>
      </c>
      <c r="L493" s="656">
        <v>376518978.7</v>
      </c>
      <c r="M493" s="657">
        <v>0.06016475653464247</v>
      </c>
      <c r="N493" s="663"/>
      <c r="O493" s="656">
        <v>43120419.97999996</v>
      </c>
      <c r="P493" s="724"/>
    </row>
    <row r="494" spans="2:43" s="690" customFormat="1" ht="37.5" customHeight="1" thickBot="1">
      <c r="B494" s="791" t="s">
        <v>72</v>
      </c>
      <c r="C494" s="824">
        <v>14019913075.72</v>
      </c>
      <c r="D494" s="824">
        <v>6634650821.77</v>
      </c>
      <c r="E494" s="825"/>
      <c r="F494" s="825">
        <v>0.47323052474983157</v>
      </c>
      <c r="G494" s="824">
        <v>-7385262253.949999</v>
      </c>
      <c r="H494" s="827">
        <v>-0.5267694752501684</v>
      </c>
      <c r="I494" s="828"/>
      <c r="J494" s="664"/>
      <c r="K494" s="662"/>
      <c r="L494" s="662"/>
      <c r="M494" s="663"/>
      <c r="N494" s="663" t="s">
        <v>590</v>
      </c>
      <c r="O494" s="662"/>
      <c r="P494" s="724"/>
      <c r="Q494" s="689"/>
      <c r="R494" s="602"/>
      <c r="S494" s="689"/>
      <c r="T494" s="689"/>
      <c r="U494" s="689"/>
      <c r="V494" s="689"/>
      <c r="W494" s="689"/>
      <c r="X494" s="689"/>
      <c r="Y494" s="689"/>
      <c r="Z494" s="689"/>
      <c r="AA494" s="689"/>
      <c r="AB494" s="689"/>
      <c r="AC494" s="689"/>
      <c r="AD494" s="689"/>
      <c r="AE494" s="689"/>
      <c r="AF494" s="689"/>
      <c r="AG494" s="689"/>
      <c r="AH494" s="689"/>
      <c r="AI494" s="689"/>
      <c r="AJ494" s="689"/>
      <c r="AK494" s="689"/>
      <c r="AL494" s="689"/>
      <c r="AM494" s="689"/>
      <c r="AN494" s="689"/>
      <c r="AO494" s="689"/>
      <c r="AP494" s="689"/>
      <c r="AQ494" s="689"/>
    </row>
    <row r="495" spans="2:43" s="833" customFormat="1" ht="24.75" customHeight="1">
      <c r="B495" s="691" t="s">
        <v>662</v>
      </c>
      <c r="C495" s="828">
        <v>347286307.9999999</v>
      </c>
      <c r="D495" s="828">
        <v>355178615.2099999</v>
      </c>
      <c r="E495" s="828"/>
      <c r="F495" s="828"/>
      <c r="G495" s="829"/>
      <c r="H495" s="829"/>
      <c r="I495" s="828"/>
      <c r="J495" s="664" t="s">
        <v>1257</v>
      </c>
      <c r="K495" s="662">
        <v>0</v>
      </c>
      <c r="L495" s="662">
        <v>0</v>
      </c>
      <c r="M495" s="663"/>
      <c r="N495" s="663" t="s">
        <v>590</v>
      </c>
      <c r="O495" s="662"/>
      <c r="P495" s="724"/>
      <c r="Q495" s="673"/>
      <c r="R495" s="673"/>
      <c r="S495" s="673"/>
      <c r="T495" s="673"/>
      <c r="U495" s="673"/>
      <c r="V495" s="673"/>
      <c r="W495" s="673"/>
      <c r="X495" s="673"/>
      <c r="Y495" s="673"/>
      <c r="Z495" s="673"/>
      <c r="AA495" s="673"/>
      <c r="AB495" s="673"/>
      <c r="AC495" s="673"/>
      <c r="AD495" s="673"/>
      <c r="AE495" s="673"/>
      <c r="AF495" s="673"/>
      <c r="AG495" s="673"/>
      <c r="AH495" s="673"/>
      <c r="AI495" s="673"/>
      <c r="AJ495" s="673"/>
      <c r="AK495" s="673"/>
      <c r="AL495" s="673"/>
      <c r="AM495" s="673"/>
      <c r="AN495" s="673"/>
      <c r="AO495" s="673"/>
      <c r="AP495" s="673"/>
      <c r="AQ495" s="673"/>
    </row>
    <row r="496" spans="2:16" ht="18.75" customHeight="1" thickBot="1">
      <c r="B496" s="846"/>
      <c r="C496" s="828"/>
      <c r="D496" s="828"/>
      <c r="E496" s="828"/>
      <c r="F496" s="829" t="s">
        <v>590</v>
      </c>
      <c r="G496" s="829" t="s">
        <v>590</v>
      </c>
      <c r="H496" s="829"/>
      <c r="I496" s="828"/>
      <c r="J496" s="664"/>
      <c r="K496" s="662"/>
      <c r="L496" s="662"/>
      <c r="M496" s="663"/>
      <c r="N496" s="663" t="s">
        <v>590</v>
      </c>
      <c r="O496" s="662"/>
      <c r="P496" s="724"/>
    </row>
    <row r="497" spans="2:16" ht="18.75" customHeight="1">
      <c r="B497" s="696" t="s">
        <v>624</v>
      </c>
      <c r="C497" s="889"/>
      <c r="D497" s="889"/>
      <c r="E497" s="889"/>
      <c r="F497" s="889"/>
      <c r="G497" s="889"/>
      <c r="H497" s="913"/>
      <c r="I497" s="813"/>
      <c r="J497" s="779" t="s">
        <v>683</v>
      </c>
      <c r="K497" s="733">
        <v>13686514517</v>
      </c>
      <c r="L497" s="733">
        <v>6258131843.070002</v>
      </c>
      <c r="M497" s="764">
        <v>1</v>
      </c>
      <c r="N497" s="764">
        <v>0.45724803311294376</v>
      </c>
      <c r="O497" s="733">
        <v>-7428382673.929998</v>
      </c>
      <c r="P497" s="884">
        <v>-0.5427519668870562</v>
      </c>
    </row>
    <row r="498" spans="2:16" ht="36" customHeight="1" thickBot="1">
      <c r="B498" s="901" t="s">
        <v>685</v>
      </c>
      <c r="C498" s="659">
        <v>13635827646</v>
      </c>
      <c r="D498" s="659">
        <v>6297567221.8</v>
      </c>
      <c r="E498" s="659"/>
      <c r="F498" s="660">
        <v>0.4618397493200465</v>
      </c>
      <c r="G498" s="659">
        <v>-7338260424.2</v>
      </c>
      <c r="H498" s="807">
        <v>-0.5381602506799534</v>
      </c>
      <c r="I498" s="813"/>
      <c r="J498" s="725" t="s">
        <v>686</v>
      </c>
      <c r="K498" s="821">
        <v>13686514517</v>
      </c>
      <c r="L498" s="821">
        <v>6258131843.070002</v>
      </c>
      <c r="M498" s="821"/>
      <c r="N498" s="822">
        <v>0.45724803311294376</v>
      </c>
      <c r="O498" s="821">
        <v>-7428382673.929998</v>
      </c>
      <c r="P498" s="886">
        <v>-0.5427519668870562</v>
      </c>
    </row>
    <row r="499" spans="2:16" ht="18.75" customHeight="1" thickBot="1">
      <c r="B499" s="664" t="s">
        <v>1596</v>
      </c>
      <c r="C499" s="659">
        <v>13145542820</v>
      </c>
      <c r="D499" s="659">
        <v>5807282395.8</v>
      </c>
      <c r="E499" s="659"/>
      <c r="F499" s="660">
        <v>0.44176817004198843</v>
      </c>
      <c r="G499" s="659">
        <v>-7338260424.2</v>
      </c>
      <c r="H499" s="807">
        <v>-0.5582318299580116</v>
      </c>
      <c r="I499" s="813"/>
      <c r="J499" s="694" t="s">
        <v>669</v>
      </c>
      <c r="K499" s="739">
        <v>14019913075.72</v>
      </c>
      <c r="L499" s="739">
        <v>6634650821.770001</v>
      </c>
      <c r="M499" s="739"/>
      <c r="N499" s="766">
        <v>0.4732305247498316</v>
      </c>
      <c r="O499" s="739">
        <v>-7385262253.949998</v>
      </c>
      <c r="P499" s="784">
        <v>-0.5267694752501684</v>
      </c>
    </row>
    <row r="500" spans="2:16" ht="18.75" customHeight="1">
      <c r="B500" s="664" t="s">
        <v>625</v>
      </c>
      <c r="C500" s="659">
        <v>13489574443.06</v>
      </c>
      <c r="D500" s="659">
        <v>6104312189.110001</v>
      </c>
      <c r="E500" s="660">
        <v>1</v>
      </c>
      <c r="F500" s="660">
        <v>0.45252073850635777</v>
      </c>
      <c r="G500" s="659">
        <v>-7385262253.949999</v>
      </c>
      <c r="H500" s="807">
        <v>-0.5474792614936422</v>
      </c>
      <c r="I500" s="813"/>
      <c r="J500" s="846"/>
      <c r="K500" s="743"/>
      <c r="L500" s="743"/>
      <c r="M500" s="743"/>
      <c r="N500" s="777"/>
      <c r="O500" s="743"/>
      <c r="P500" s="776"/>
    </row>
    <row r="501" spans="2:16" ht="42.75" customHeight="1" thickBot="1">
      <c r="B501" s="902" t="s">
        <v>73</v>
      </c>
      <c r="C501" s="890">
        <v>13979859269.06</v>
      </c>
      <c r="D501" s="890">
        <v>6594597015.110001</v>
      </c>
      <c r="E501" s="890"/>
      <c r="F501" s="911">
        <v>0.4717212733110309</v>
      </c>
      <c r="G501" s="890">
        <v>-7385262253.949999</v>
      </c>
      <c r="H501" s="912">
        <v>-0.5282787266889691</v>
      </c>
      <c r="I501" s="813"/>
      <c r="J501" s="846"/>
      <c r="K501" s="743"/>
      <c r="L501" s="782"/>
      <c r="M501" s="782"/>
      <c r="N501" s="782"/>
      <c r="O501" s="782"/>
      <c r="P501" s="847"/>
    </row>
    <row r="502" spans="2:16" ht="18.75" customHeight="1" thickBot="1">
      <c r="B502" s="846"/>
      <c r="C502" s="828"/>
      <c r="D502" s="828"/>
      <c r="E502" s="828"/>
      <c r="F502" s="829"/>
      <c r="G502" s="829"/>
      <c r="H502" s="829"/>
      <c r="I502" s="828"/>
      <c r="J502" s="685" t="s">
        <v>687</v>
      </c>
      <c r="K502" s="739">
        <v>293344752.05999947</v>
      </c>
      <c r="L502" s="739">
        <v>336465172.039999</v>
      </c>
      <c r="M502" s="788"/>
      <c r="N502" s="788"/>
      <c r="O502" s="739">
        <v>43120419.97999954</v>
      </c>
      <c r="P502" s="790"/>
    </row>
    <row r="503" spans="2:16" ht="18.75" customHeight="1" thickBot="1">
      <c r="B503" s="848" t="s">
        <v>1326</v>
      </c>
      <c r="C503" s="824">
        <v>24062793087</v>
      </c>
      <c r="D503" s="824">
        <v>23562726477.739998</v>
      </c>
      <c r="E503" s="825">
        <v>3.86001333938581</v>
      </c>
      <c r="F503" s="825">
        <v>0.9792182641702486</v>
      </c>
      <c r="G503" s="824">
        <v>-500066609.26000214</v>
      </c>
      <c r="H503" s="827">
        <v>-0.0207817358297514</v>
      </c>
      <c r="I503" s="828"/>
      <c r="J503" s="777"/>
      <c r="K503" s="743"/>
      <c r="L503" s="782"/>
      <c r="M503" s="782"/>
      <c r="N503" s="782"/>
      <c r="O503" s="782"/>
      <c r="P503" s="782"/>
    </row>
    <row r="504" spans="2:16" ht="18.75" customHeight="1" thickBot="1">
      <c r="B504" s="846"/>
      <c r="C504" s="828">
        <v>12517524</v>
      </c>
      <c r="D504" s="828">
        <v>-294673685.640007</v>
      </c>
      <c r="E504" s="829"/>
      <c r="F504" s="829"/>
      <c r="G504" s="828"/>
      <c r="H504" s="829"/>
      <c r="I504" s="828"/>
      <c r="J504" s="777"/>
      <c r="K504" s="743"/>
      <c r="L504" s="782"/>
      <c r="M504" s="782"/>
      <c r="N504" s="782"/>
      <c r="O504" s="782"/>
      <c r="P504" s="782"/>
    </row>
    <row r="505" spans="2:16" ht="18.75" customHeight="1" thickBot="1">
      <c r="B505" s="848" t="s">
        <v>1240</v>
      </c>
      <c r="C505" s="824">
        <v>23657664496.909996</v>
      </c>
      <c r="D505" s="824">
        <v>23123292896.42</v>
      </c>
      <c r="E505" s="825">
        <v>3.788025936430905</v>
      </c>
      <c r="F505" s="825">
        <v>0.9774123265396805</v>
      </c>
      <c r="G505" s="824">
        <v>-534371600.48999786</v>
      </c>
      <c r="H505" s="827">
        <v>-0.022587673460319545</v>
      </c>
      <c r="I505" s="828"/>
      <c r="J505" s="777"/>
      <c r="K505" s="743"/>
      <c r="L505" s="782"/>
      <c r="M505" s="782"/>
      <c r="N505" s="782"/>
      <c r="O505" s="782"/>
      <c r="P505" s="782"/>
    </row>
    <row r="506" spans="2:16" ht="18.75" customHeight="1" thickBot="1">
      <c r="B506" s="846"/>
      <c r="C506" s="828">
        <v>314527369.70999527</v>
      </c>
      <c r="D506" s="828">
        <v>-44958356.12000656</v>
      </c>
      <c r="E506" s="829"/>
      <c r="F506" s="829"/>
      <c r="G506" s="828"/>
      <c r="H506" s="829"/>
      <c r="I506" s="828"/>
      <c r="J506" s="777"/>
      <c r="K506" s="743"/>
      <c r="L506" s="782"/>
      <c r="M506" s="782"/>
      <c r="N506" s="782"/>
      <c r="O506" s="782"/>
      <c r="P506" s="782"/>
    </row>
    <row r="507" spans="2:43" s="690" customFormat="1" ht="28.5" customHeight="1" thickBot="1">
      <c r="B507" s="848" t="s">
        <v>1197</v>
      </c>
      <c r="C507" s="914">
        <v>39889233247.28457</v>
      </c>
      <c r="D507" s="914">
        <v>31972926564.81457</v>
      </c>
      <c r="E507" s="825">
        <v>5.237760713132232</v>
      </c>
      <c r="F507" s="915">
        <v>0.8015427713690412</v>
      </c>
      <c r="G507" s="824">
        <v>-7916306682.469997</v>
      </c>
      <c r="H507" s="916">
        <v>-0.19845722863095883</v>
      </c>
      <c r="I507" s="850"/>
      <c r="J507" s="846"/>
      <c r="K507" s="743"/>
      <c r="L507" s="782"/>
      <c r="M507" s="782"/>
      <c r="N507" s="782"/>
      <c r="O507" s="782"/>
      <c r="P507" s="782"/>
      <c r="Q507" s="689"/>
      <c r="R507" s="689"/>
      <c r="S507" s="689"/>
      <c r="T507" s="689"/>
      <c r="U507" s="689"/>
      <c r="V507" s="689"/>
      <c r="W507" s="689"/>
      <c r="X507" s="689"/>
      <c r="Y507" s="689"/>
      <c r="Z507" s="689"/>
      <c r="AA507" s="689"/>
      <c r="AB507" s="689"/>
      <c r="AC507" s="689"/>
      <c r="AD507" s="689"/>
      <c r="AE507" s="689"/>
      <c r="AF507" s="689"/>
      <c r="AG507" s="689"/>
      <c r="AH507" s="689"/>
      <c r="AI507" s="689"/>
      <c r="AJ507" s="689"/>
      <c r="AK507" s="689"/>
      <c r="AL507" s="689"/>
      <c r="AM507" s="689"/>
      <c r="AN507" s="689"/>
      <c r="AO507" s="689"/>
      <c r="AP507" s="689"/>
      <c r="AQ507" s="689"/>
    </row>
    <row r="508" spans="2:16" ht="18.75" customHeight="1" thickBot="1">
      <c r="B508" s="937"/>
      <c r="C508" s="853">
        <v>0.00457000732421875</v>
      </c>
      <c r="D508" s="853">
        <v>0.014566192626953125</v>
      </c>
      <c r="E508" s="829"/>
      <c r="F508" s="938" t="s">
        <v>590</v>
      </c>
      <c r="G508" s="828"/>
      <c r="H508" s="938"/>
      <c r="I508" s="939"/>
      <c r="J508" s="768" t="s">
        <v>1196</v>
      </c>
      <c r="K508" s="739">
        <v>39889233247.28</v>
      </c>
      <c r="L508" s="739">
        <v>31972926564.810005</v>
      </c>
      <c r="M508" s="739"/>
      <c r="N508" s="766">
        <v>0.8015427713690185</v>
      </c>
      <c r="O508" s="739">
        <v>-7916306682.469994</v>
      </c>
      <c r="P508" s="784">
        <v>-0.19845722863098145</v>
      </c>
    </row>
    <row r="509" spans="2:43" s="690" customFormat="1" ht="29.25" customHeight="1" thickBot="1">
      <c r="B509" s="848" t="s">
        <v>626</v>
      </c>
      <c r="C509" s="914">
        <v>39386977263.22457</v>
      </c>
      <c r="D509" s="914">
        <v>31543359281.50457</v>
      </c>
      <c r="E509" s="825">
        <v>5.167389593503661</v>
      </c>
      <c r="F509" s="915">
        <v>0.8008575796690154</v>
      </c>
      <c r="G509" s="824">
        <v>-7843617981.720001</v>
      </c>
      <c r="H509" s="916">
        <v>-0.19914242033098462</v>
      </c>
      <c r="I509" s="850"/>
      <c r="J509" s="603"/>
      <c r="K509" s="743"/>
      <c r="L509" s="743"/>
      <c r="M509" s="782"/>
      <c r="N509" s="767"/>
      <c r="O509" s="783"/>
      <c r="P509" s="767"/>
      <c r="Q509" s="689"/>
      <c r="R509" s="689"/>
      <c r="S509" s="689"/>
      <c r="T509" s="689"/>
      <c r="U509" s="689"/>
      <c r="V509" s="689"/>
      <c r="W509" s="689"/>
      <c r="X509" s="689"/>
      <c r="Y509" s="689"/>
      <c r="Z509" s="689"/>
      <c r="AA509" s="689"/>
      <c r="AB509" s="689"/>
      <c r="AC509" s="689"/>
      <c r="AD509" s="689"/>
      <c r="AE509" s="689"/>
      <c r="AF509" s="689"/>
      <c r="AG509" s="689"/>
      <c r="AH509" s="689"/>
      <c r="AI509" s="689"/>
      <c r="AJ509" s="689"/>
      <c r="AK509" s="689"/>
      <c r="AL509" s="689"/>
      <c r="AM509" s="689"/>
      <c r="AN509" s="689"/>
      <c r="AO509" s="689"/>
      <c r="AP509" s="689"/>
      <c r="AQ509" s="689"/>
    </row>
    <row r="510" spans="2:16" ht="18.75" customHeight="1" thickBot="1">
      <c r="B510" s="849"/>
      <c r="C510" s="850">
        <v>587033445.9095688</v>
      </c>
      <c r="D510" s="850">
        <v>-2083503461.3604355</v>
      </c>
      <c r="E510" s="829"/>
      <c r="F510" s="940" t="s">
        <v>590</v>
      </c>
      <c r="G510" s="828"/>
      <c r="H510" s="940"/>
      <c r="I510" s="850"/>
      <c r="J510" s="848" t="s">
        <v>626</v>
      </c>
      <c r="K510" s="739">
        <v>37337179021.909996</v>
      </c>
      <c r="L510" s="739">
        <v>29377001389.289997</v>
      </c>
      <c r="M510" s="739"/>
      <c r="N510" s="766">
        <v>0.7868029175972601</v>
      </c>
      <c r="O510" s="739">
        <v>-7960177632.619999</v>
      </c>
      <c r="P510" s="784">
        <v>-0.21319708240273996</v>
      </c>
    </row>
    <row r="511" spans="2:12" ht="18.75" customHeight="1" thickBot="1">
      <c r="B511" s="848" t="s">
        <v>586</v>
      </c>
      <c r="C511" s="914">
        <v>2049798241.3145752</v>
      </c>
      <c r="D511" s="914">
        <v>2166357892.214573</v>
      </c>
      <c r="E511" s="825">
        <v>0.35488976073001677</v>
      </c>
      <c r="F511" s="915">
        <v>1.0568639627796956</v>
      </c>
      <c r="G511" s="824">
        <v>116559650.89999771</v>
      </c>
      <c r="H511" s="916">
        <v>0.0568639627796957</v>
      </c>
      <c r="I511" s="850"/>
      <c r="J511" s="846"/>
      <c r="K511" s="693"/>
      <c r="L511" s="693"/>
    </row>
    <row r="512" spans="2:12" ht="18.75" customHeight="1" thickBot="1">
      <c r="B512" s="849"/>
      <c r="C512" s="850">
        <v>-130674108.32042694</v>
      </c>
      <c r="D512" s="850">
        <v>-366607292.01042557</v>
      </c>
      <c r="E512" s="829"/>
      <c r="F512" s="940" t="s">
        <v>590</v>
      </c>
      <c r="G512" s="828"/>
      <c r="H512" s="940"/>
      <c r="I512" s="850"/>
      <c r="K512" s="693"/>
      <c r="L512" s="693"/>
    </row>
    <row r="513" spans="2:13" ht="20.25" thickBot="1">
      <c r="B513" s="848" t="s">
        <v>650</v>
      </c>
      <c r="C513" s="917">
        <v>405128590.0899981</v>
      </c>
      <c r="D513" s="917">
        <v>439433581.3199996</v>
      </c>
      <c r="E513" s="825">
        <v>0.07198740295490495</v>
      </c>
      <c r="F513" s="918">
        <v>1.0846767966249449</v>
      </c>
      <c r="G513" s="824">
        <v>34304991.23000145</v>
      </c>
      <c r="H513" s="919">
        <v>0.08467679662494493</v>
      </c>
      <c r="I513" s="853"/>
      <c r="K513" s="693"/>
      <c r="L513" s="693"/>
      <c r="M513" s="602"/>
    </row>
    <row r="514" spans="2:13" ht="18.75" customHeight="1" thickBot="1">
      <c r="B514" s="849"/>
      <c r="C514" s="850">
        <v>-302009845.7100011</v>
      </c>
      <c r="D514" s="850">
        <v>-249715329.51999795</v>
      </c>
      <c r="E514" s="829"/>
      <c r="F514" s="940"/>
      <c r="G514" s="828"/>
      <c r="H514" s="940"/>
      <c r="I514" s="850"/>
      <c r="K514" s="693"/>
      <c r="L514" s="689"/>
      <c r="M514" s="602"/>
    </row>
    <row r="515" spans="2:13" ht="18.75" customHeight="1" thickBot="1">
      <c r="B515" s="848" t="s">
        <v>1258</v>
      </c>
      <c r="C515" s="917">
        <v>427640427.0899981</v>
      </c>
      <c r="D515" s="917">
        <v>448232814.08999956</v>
      </c>
      <c r="E515" s="825">
        <v>0.07342888112597518</v>
      </c>
      <c r="F515" s="918">
        <v>1.0481535086383862</v>
      </c>
      <c r="G515" s="824">
        <v>20592387.00000143</v>
      </c>
      <c r="H515" s="919">
        <v>0.0481535086383863</v>
      </c>
      <c r="I515" s="853"/>
      <c r="J515" s="851"/>
      <c r="K515" s="693"/>
      <c r="L515" s="693"/>
      <c r="M515" s="602"/>
    </row>
    <row r="516" spans="2:9" ht="18.75" customHeight="1">
      <c r="B516" s="849"/>
      <c r="C516" s="852"/>
      <c r="D516" s="853"/>
      <c r="E516" s="853"/>
      <c r="F516" s="854"/>
      <c r="G516" s="855"/>
      <c r="H516" s="855"/>
      <c r="I516" s="855"/>
    </row>
    <row r="517" spans="2:12" ht="18.75" customHeight="1">
      <c r="B517" s="849"/>
      <c r="C517" s="856"/>
      <c r="D517" s="856"/>
      <c r="E517" s="856"/>
      <c r="F517" s="857"/>
      <c r="G517" s="857"/>
      <c r="H517" s="857"/>
      <c r="I517" s="857"/>
      <c r="L517" s="693"/>
    </row>
    <row r="518" spans="2:9" ht="18.75" customHeight="1">
      <c r="B518" s="858"/>
      <c r="C518" s="857"/>
      <c r="D518" s="850"/>
      <c r="E518" s="850"/>
      <c r="F518" s="857"/>
      <c r="G518" s="857"/>
      <c r="H518" s="857"/>
      <c r="I518" s="857"/>
    </row>
    <row r="519" spans="2:16" ht="18.75" customHeight="1">
      <c r="B519" s="858"/>
      <c r="C519" s="857"/>
      <c r="D519" s="850"/>
      <c r="E519" s="850"/>
      <c r="F519" s="857"/>
      <c r="G519" s="857"/>
      <c r="H519" s="857"/>
      <c r="I519" s="857"/>
      <c r="J519" s="769"/>
      <c r="K519" s="813"/>
      <c r="L519" s="813"/>
      <c r="M519" s="813"/>
      <c r="N519" s="700"/>
      <c r="O519" s="700"/>
      <c r="P519" s="700"/>
    </row>
    <row r="520" spans="2:16" ht="18.75" customHeight="1">
      <c r="B520" s="859"/>
      <c r="C520" s="751"/>
      <c r="D520" s="828"/>
      <c r="E520" s="828"/>
      <c r="F520" s="751"/>
      <c r="G520" s="751"/>
      <c r="H520" s="751"/>
      <c r="I520" s="751"/>
      <c r="J520" s="774"/>
      <c r="K520" s="832"/>
      <c r="L520" s="832"/>
      <c r="M520" s="832"/>
      <c r="N520" s="860"/>
      <c r="O520" s="860"/>
      <c r="P520" s="860"/>
    </row>
    <row r="521" spans="2:10" ht="18.75" customHeight="1">
      <c r="B521" s="769"/>
      <c r="C521" s="751"/>
      <c r="D521" s="832"/>
      <c r="E521" s="832"/>
      <c r="F521" s="751"/>
      <c r="G521" s="751"/>
      <c r="H521" s="751"/>
      <c r="I521" s="751"/>
      <c r="J521" s="774"/>
    </row>
    <row r="522" spans="2:11" ht="18.75" customHeight="1">
      <c r="B522" s="774"/>
      <c r="C522" s="751"/>
      <c r="D522" s="832"/>
      <c r="E522" s="832"/>
      <c r="F522" s="751"/>
      <c r="G522" s="751"/>
      <c r="H522" s="751"/>
      <c r="I522" s="751"/>
      <c r="J522" s="774"/>
      <c r="K522" s="693"/>
    </row>
    <row r="523" spans="2:16" ht="18.75" customHeight="1">
      <c r="B523" s="774"/>
      <c r="C523" s="751"/>
      <c r="D523" s="751"/>
      <c r="E523" s="751"/>
      <c r="F523" s="751"/>
      <c r="G523" s="751"/>
      <c r="H523" s="751"/>
      <c r="I523" s="751"/>
      <c r="J523" s="774"/>
      <c r="K523" s="832"/>
      <c r="L523" s="832"/>
      <c r="M523" s="832"/>
      <c r="N523" s="860"/>
      <c r="O523" s="860"/>
      <c r="P523" s="860"/>
    </row>
    <row r="524" spans="2:16" ht="18.75" customHeight="1">
      <c r="B524" s="774"/>
      <c r="C524" s="751"/>
      <c r="D524" s="751"/>
      <c r="E524" s="751"/>
      <c r="F524" s="751"/>
      <c r="G524" s="751"/>
      <c r="H524" s="751"/>
      <c r="I524" s="751"/>
      <c r="J524" s="769"/>
      <c r="K524" s="813"/>
      <c r="L524" s="832"/>
      <c r="M524" s="832"/>
      <c r="N524" s="860"/>
      <c r="O524" s="860"/>
      <c r="P524" s="860"/>
    </row>
    <row r="525" spans="2:16" ht="18.75" customHeight="1">
      <c r="B525" s="774"/>
      <c r="C525" s="832"/>
      <c r="D525" s="832"/>
      <c r="E525" s="832"/>
      <c r="F525" s="860"/>
      <c r="G525" s="832"/>
      <c r="J525" s="774"/>
      <c r="K525" s="813"/>
      <c r="L525" s="832"/>
      <c r="M525" s="832"/>
      <c r="N525" s="860"/>
      <c r="O525" s="860"/>
      <c r="P525" s="860"/>
    </row>
    <row r="526" spans="2:16" ht="18.75" customHeight="1">
      <c r="B526" s="774"/>
      <c r="C526" s="832"/>
      <c r="D526" s="832"/>
      <c r="E526" s="832"/>
      <c r="F526" s="860"/>
      <c r="G526" s="832"/>
      <c r="J526" s="774"/>
      <c r="K526" s="832"/>
      <c r="L526" s="832"/>
      <c r="M526" s="832"/>
      <c r="N526" s="860"/>
      <c r="O526" s="860"/>
      <c r="P526" s="860"/>
    </row>
    <row r="527" spans="2:16" ht="18.75" customHeight="1">
      <c r="B527" s="774"/>
      <c r="C527" s="832"/>
      <c r="D527" s="832"/>
      <c r="E527" s="832"/>
      <c r="F527" s="860"/>
      <c r="G527" s="832"/>
      <c r="J527" s="774"/>
      <c r="K527" s="813"/>
      <c r="L527" s="813"/>
      <c r="M527" s="813"/>
      <c r="N527" s="700"/>
      <c r="O527" s="700"/>
      <c r="P527" s="700"/>
    </row>
    <row r="528" spans="2:16" ht="18.75" customHeight="1">
      <c r="B528" s="774"/>
      <c r="C528" s="832"/>
      <c r="D528" s="832"/>
      <c r="E528" s="832"/>
      <c r="F528" s="860"/>
      <c r="G528" s="832"/>
      <c r="J528" s="774"/>
      <c r="K528" s="813"/>
      <c r="L528" s="813"/>
      <c r="M528" s="813"/>
      <c r="N528" s="700"/>
      <c r="O528" s="700"/>
      <c r="P528" s="700"/>
    </row>
    <row r="529" spans="2:16" ht="18.75" customHeight="1">
      <c r="B529" s="774"/>
      <c r="C529" s="751"/>
      <c r="D529" s="751"/>
      <c r="E529" s="751"/>
      <c r="F529" s="751"/>
      <c r="G529" s="751"/>
      <c r="H529" s="751"/>
      <c r="I529" s="751"/>
      <c r="J529" s="774"/>
      <c r="K529" s="832"/>
      <c r="L529" s="832"/>
      <c r="M529" s="832"/>
      <c r="N529" s="860"/>
      <c r="O529" s="860"/>
      <c r="P529" s="860"/>
    </row>
    <row r="530" spans="2:16" ht="18.75" customHeight="1">
      <c r="B530" s="774"/>
      <c r="C530" s="857"/>
      <c r="D530" s="857"/>
      <c r="E530" s="857"/>
      <c r="F530" s="857"/>
      <c r="G530" s="857"/>
      <c r="H530" s="857"/>
      <c r="I530" s="857"/>
      <c r="J530" s="774"/>
      <c r="K530" s="832"/>
      <c r="L530" s="832"/>
      <c r="M530" s="832"/>
      <c r="N530" s="860"/>
      <c r="O530" s="860"/>
      <c r="P530" s="860"/>
    </row>
    <row r="531" spans="2:16" ht="18.75" customHeight="1">
      <c r="B531" s="774"/>
      <c r="C531" s="751"/>
      <c r="D531" s="861"/>
      <c r="E531" s="861"/>
      <c r="F531" s="861"/>
      <c r="G531" s="861"/>
      <c r="H531" s="861"/>
      <c r="I531" s="861"/>
      <c r="J531" s="774"/>
      <c r="K531" s="832"/>
      <c r="L531" s="832"/>
      <c r="M531" s="832"/>
      <c r="N531" s="860"/>
      <c r="O531" s="860"/>
      <c r="P531" s="860"/>
    </row>
    <row r="532" spans="2:16" ht="18.75" customHeight="1">
      <c r="B532" s="774"/>
      <c r="C532" s="751"/>
      <c r="D532" s="751"/>
      <c r="E532" s="751"/>
      <c r="F532" s="751"/>
      <c r="G532" s="751"/>
      <c r="H532" s="751"/>
      <c r="I532" s="751"/>
      <c r="J532" s="774"/>
      <c r="K532" s="832"/>
      <c r="L532" s="832"/>
      <c r="M532" s="832"/>
      <c r="N532" s="860"/>
      <c r="O532" s="860"/>
      <c r="P532" s="860"/>
    </row>
    <row r="533" spans="2:16" ht="18.75" customHeight="1">
      <c r="B533" s="774"/>
      <c r="C533" s="751"/>
      <c r="D533" s="751"/>
      <c r="E533" s="751"/>
      <c r="F533" s="751"/>
      <c r="G533" s="751"/>
      <c r="H533" s="751"/>
      <c r="I533" s="751"/>
      <c r="J533" s="774"/>
      <c r="K533" s="860"/>
      <c r="L533" s="860"/>
      <c r="M533" s="860"/>
      <c r="N533" s="860"/>
      <c r="O533" s="860"/>
      <c r="P533" s="860"/>
    </row>
    <row r="534" spans="2:16" ht="18.75" customHeight="1">
      <c r="B534" s="774"/>
      <c r="C534" s="751"/>
      <c r="D534" s="751"/>
      <c r="E534" s="751"/>
      <c r="F534" s="751"/>
      <c r="G534" s="751"/>
      <c r="H534" s="751"/>
      <c r="I534" s="751"/>
      <c r="J534" s="774"/>
      <c r="K534" s="860"/>
      <c r="L534" s="860"/>
      <c r="M534" s="860"/>
      <c r="N534" s="860"/>
      <c r="O534" s="860"/>
      <c r="P534" s="860"/>
    </row>
    <row r="535" spans="2:13" ht="18.75" customHeight="1">
      <c r="B535" s="774"/>
      <c r="C535" s="751"/>
      <c r="D535" s="751"/>
      <c r="E535" s="751"/>
      <c r="F535" s="751"/>
      <c r="G535" s="751"/>
      <c r="H535" s="751"/>
      <c r="I535" s="751"/>
      <c r="J535" s="774"/>
      <c r="K535" s="795"/>
      <c r="L535" s="795"/>
      <c r="M535" s="795"/>
    </row>
    <row r="536" spans="2:9" ht="18.75" customHeight="1">
      <c r="B536" s="774"/>
      <c r="C536" s="751"/>
      <c r="D536" s="751"/>
      <c r="E536" s="751"/>
      <c r="F536" s="751"/>
      <c r="G536" s="751"/>
      <c r="H536" s="751"/>
      <c r="I536" s="751"/>
    </row>
    <row r="537" spans="2:9" ht="18.75" customHeight="1">
      <c r="B537" s="774"/>
      <c r="C537" s="751"/>
      <c r="D537" s="751"/>
      <c r="E537" s="751"/>
      <c r="F537" s="751"/>
      <c r="G537" s="751"/>
      <c r="H537" s="751"/>
      <c r="I537" s="751"/>
    </row>
    <row r="538" spans="2:10" ht="18.75" customHeight="1">
      <c r="B538" s="774"/>
      <c r="C538" s="751"/>
      <c r="D538" s="751"/>
      <c r="E538" s="751"/>
      <c r="F538" s="751"/>
      <c r="G538" s="751"/>
      <c r="H538" s="751"/>
      <c r="I538" s="751"/>
      <c r="J538" s="774"/>
    </row>
    <row r="539" spans="2:10" ht="18.75" customHeight="1">
      <c r="B539" s="774"/>
      <c r="C539" s="751"/>
      <c r="D539" s="751"/>
      <c r="E539" s="751"/>
      <c r="F539" s="751"/>
      <c r="G539" s="751"/>
      <c r="H539" s="751"/>
      <c r="I539" s="751"/>
      <c r="J539" s="774"/>
    </row>
    <row r="540" spans="2:16" ht="18.75" customHeight="1">
      <c r="B540" s="774"/>
      <c r="C540" s="751"/>
      <c r="D540" s="751"/>
      <c r="E540" s="751"/>
      <c r="F540" s="751"/>
      <c r="G540" s="751"/>
      <c r="H540" s="751"/>
      <c r="I540" s="751"/>
      <c r="J540" s="774"/>
      <c r="K540" s="693"/>
      <c r="L540" s="693"/>
      <c r="M540" s="693"/>
      <c r="N540" s="702"/>
      <c r="O540" s="702"/>
      <c r="P540" s="702"/>
    </row>
    <row r="541" spans="2:10" ht="18.75" customHeight="1">
      <c r="B541" s="774"/>
      <c r="C541" s="751"/>
      <c r="D541" s="751"/>
      <c r="E541" s="751"/>
      <c r="F541" s="751"/>
      <c r="G541" s="751"/>
      <c r="H541" s="751"/>
      <c r="I541" s="751"/>
      <c r="J541" s="774"/>
    </row>
    <row r="542" spans="2:10" ht="18.75" customHeight="1">
      <c r="B542" s="774"/>
      <c r="C542" s="751"/>
      <c r="D542" s="751"/>
      <c r="E542" s="751"/>
      <c r="F542" s="751"/>
      <c r="G542" s="751"/>
      <c r="H542" s="751"/>
      <c r="I542" s="751"/>
      <c r="J542" s="774"/>
    </row>
    <row r="543" spans="2:10" ht="18.75" customHeight="1">
      <c r="B543" s="774"/>
      <c r="C543" s="751"/>
      <c r="D543" s="751"/>
      <c r="E543" s="751"/>
      <c r="F543" s="751"/>
      <c r="G543" s="751"/>
      <c r="H543" s="751"/>
      <c r="I543" s="751"/>
      <c r="J543" s="774"/>
    </row>
    <row r="544" spans="2:10" ht="18.75" customHeight="1">
      <c r="B544" s="774"/>
      <c r="C544" s="751"/>
      <c r="D544" s="751"/>
      <c r="E544" s="751"/>
      <c r="F544" s="751"/>
      <c r="G544" s="751"/>
      <c r="H544" s="751"/>
      <c r="I544" s="751"/>
      <c r="J544" s="774"/>
    </row>
    <row r="545" spans="2:13" ht="18.75" customHeight="1">
      <c r="B545" s="774"/>
      <c r="C545" s="751"/>
      <c r="D545" s="751"/>
      <c r="E545" s="751"/>
      <c r="F545" s="751"/>
      <c r="G545" s="751"/>
      <c r="H545" s="751"/>
      <c r="I545" s="751"/>
      <c r="J545" s="774"/>
      <c r="K545" s="795"/>
      <c r="L545" s="795"/>
      <c r="M545" s="795"/>
    </row>
    <row r="546" spans="2:13" ht="18.75" customHeight="1">
      <c r="B546" s="774"/>
      <c r="C546" s="751"/>
      <c r="D546" s="751"/>
      <c r="E546" s="751"/>
      <c r="F546" s="751"/>
      <c r="G546" s="751"/>
      <c r="H546" s="751"/>
      <c r="I546" s="751"/>
      <c r="J546" s="774"/>
      <c r="K546" s="795"/>
      <c r="L546" s="795"/>
      <c r="M546" s="795"/>
    </row>
    <row r="547" spans="2:13" ht="18.75" customHeight="1">
      <c r="B547" s="774"/>
      <c r="C547" s="751"/>
      <c r="D547" s="751"/>
      <c r="E547" s="751"/>
      <c r="F547" s="751"/>
      <c r="G547" s="751"/>
      <c r="H547" s="751"/>
      <c r="I547" s="751"/>
      <c r="J547" s="774"/>
      <c r="K547" s="795"/>
      <c r="L547" s="795"/>
      <c r="M547" s="795"/>
    </row>
    <row r="548" spans="2:13" ht="18.75" customHeight="1">
      <c r="B548" s="833"/>
      <c r="C548" s="832"/>
      <c r="D548" s="832"/>
      <c r="E548" s="832"/>
      <c r="F548" s="860"/>
      <c r="G548" s="832"/>
      <c r="J548" s="862"/>
      <c r="K548" s="795"/>
      <c r="L548" s="795"/>
      <c r="M548" s="795"/>
    </row>
    <row r="549" spans="2:13" ht="18.75" customHeight="1">
      <c r="B549" s="833"/>
      <c r="C549" s="832"/>
      <c r="D549" s="832"/>
      <c r="E549" s="832"/>
      <c r="F549" s="860"/>
      <c r="G549" s="832"/>
      <c r="J549" s="774"/>
      <c r="K549" s="795"/>
      <c r="L549" s="795"/>
      <c r="M549" s="795"/>
    </row>
    <row r="550" spans="2:13" ht="18.75" customHeight="1">
      <c r="B550" s="863"/>
      <c r="C550" s="813"/>
      <c r="D550" s="813"/>
      <c r="E550" s="813"/>
      <c r="F550" s="700"/>
      <c r="G550" s="813"/>
      <c r="H550" s="693"/>
      <c r="I550" s="813"/>
      <c r="J550" s="774"/>
      <c r="K550" s="795"/>
      <c r="L550" s="795"/>
      <c r="M550" s="795"/>
    </row>
    <row r="551" spans="2:13" ht="18.75" customHeight="1">
      <c r="B551" s="833"/>
      <c r="C551" s="832"/>
      <c r="D551" s="832"/>
      <c r="E551" s="832"/>
      <c r="F551" s="860"/>
      <c r="G551" s="832"/>
      <c r="K551" s="795"/>
      <c r="L551" s="795"/>
      <c r="M551" s="795"/>
    </row>
    <row r="552" spans="2:10" ht="18.75" customHeight="1">
      <c r="B552" s="833"/>
      <c r="C552" s="832"/>
      <c r="D552" s="832"/>
      <c r="E552" s="832"/>
      <c r="F552" s="860"/>
      <c r="G552" s="832"/>
      <c r="J552" s="774"/>
    </row>
    <row r="553" spans="2:7" ht="18.75" customHeight="1">
      <c r="B553" s="833"/>
      <c r="C553" s="832"/>
      <c r="D553" s="832"/>
      <c r="E553" s="832"/>
      <c r="F553" s="860"/>
      <c r="G553" s="832"/>
    </row>
    <row r="554" spans="2:7" ht="18.75" customHeight="1">
      <c r="B554" s="833"/>
      <c r="C554" s="832"/>
      <c r="D554" s="832"/>
      <c r="E554" s="832"/>
      <c r="F554" s="860"/>
      <c r="G554" s="832"/>
    </row>
    <row r="555" spans="2:7" ht="18.75" customHeight="1">
      <c r="B555" s="833"/>
      <c r="C555" s="832"/>
      <c r="D555" s="832"/>
      <c r="E555" s="832"/>
      <c r="F555" s="860"/>
      <c r="G555" s="832"/>
    </row>
    <row r="556" spans="2:7" ht="18.75" customHeight="1">
      <c r="B556" s="833"/>
      <c r="C556" s="832"/>
      <c r="D556" s="832"/>
      <c r="E556" s="832"/>
      <c r="F556" s="860"/>
      <c r="G556" s="832"/>
    </row>
    <row r="557" ht="18.75" customHeight="1"/>
    <row r="558" ht="18.75" customHeight="1"/>
    <row r="559" ht="18.75" customHeight="1"/>
    <row r="560" ht="18.75" customHeight="1">
      <c r="J560" s="774"/>
    </row>
    <row r="561" ht="18.75" customHeight="1">
      <c r="J561" s="774"/>
    </row>
    <row r="562" ht="18.75" customHeight="1">
      <c r="J562" s="774"/>
    </row>
    <row r="563" ht="18.75" customHeight="1">
      <c r="J563" s="862"/>
    </row>
    <row r="564" ht="18.75" customHeight="1">
      <c r="J564" s="774"/>
    </row>
    <row r="565" ht="18.75" customHeight="1">
      <c r="J565" s="774"/>
    </row>
    <row r="566" ht="18.75" customHeight="1"/>
    <row r="567" ht="18.75" customHeight="1">
      <c r="J567" s="774"/>
    </row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</sheetData>
  <mergeCells count="68">
    <mergeCell ref="J466:P466"/>
    <mergeCell ref="J467:P467"/>
    <mergeCell ref="N231:N232"/>
    <mergeCell ref="O231:P231"/>
    <mergeCell ref="J337:P337"/>
    <mergeCell ref="M341:M342"/>
    <mergeCell ref="N341:N342"/>
    <mergeCell ref="O341:P341"/>
    <mergeCell ref="J339:P339"/>
    <mergeCell ref="E464:E465"/>
    <mergeCell ref="F464:F465"/>
    <mergeCell ref="G464:H464"/>
    <mergeCell ref="E231:E232"/>
    <mergeCell ref="F231:F232"/>
    <mergeCell ref="B461:H461"/>
    <mergeCell ref="D464:D465"/>
    <mergeCell ref="D231:D232"/>
    <mergeCell ref="D341:D342"/>
    <mergeCell ref="E341:E342"/>
    <mergeCell ref="B338:H338"/>
    <mergeCell ref="J338:P338"/>
    <mergeCell ref="L231:L232"/>
    <mergeCell ref="M231:M232"/>
    <mergeCell ref="G231:H231"/>
    <mergeCell ref="M6:M7"/>
    <mergeCell ref="N6:N7"/>
    <mergeCell ref="O6:P6"/>
    <mergeCell ref="D6:D7"/>
    <mergeCell ref="E6:E7"/>
    <mergeCell ref="L6:L7"/>
    <mergeCell ref="F6:F7"/>
    <mergeCell ref="G6:H6"/>
    <mergeCell ref="J1:P1"/>
    <mergeCell ref="J2:P2"/>
    <mergeCell ref="J3:P3"/>
    <mergeCell ref="J4:P4"/>
    <mergeCell ref="B1:H1"/>
    <mergeCell ref="B2:H2"/>
    <mergeCell ref="B3:H3"/>
    <mergeCell ref="B4:H4"/>
    <mergeCell ref="B126:H126"/>
    <mergeCell ref="C6:C7"/>
    <mergeCell ref="G341:H341"/>
    <mergeCell ref="L341:L342"/>
    <mergeCell ref="B339:H339"/>
    <mergeCell ref="J227:P227"/>
    <mergeCell ref="M131:M132"/>
    <mergeCell ref="B128:H128"/>
    <mergeCell ref="J127:P127"/>
    <mergeCell ref="B127:H127"/>
    <mergeCell ref="B129:H129"/>
    <mergeCell ref="J128:P128"/>
    <mergeCell ref="J129:P129"/>
    <mergeCell ref="E131:E132"/>
    <mergeCell ref="L131:L132"/>
    <mergeCell ref="F131:F132"/>
    <mergeCell ref="D131:D132"/>
    <mergeCell ref="G131:H131"/>
    <mergeCell ref="B462:H462"/>
    <mergeCell ref="F341:F342"/>
    <mergeCell ref="N131:N132"/>
    <mergeCell ref="O131:P131"/>
    <mergeCell ref="B228:H228"/>
    <mergeCell ref="B229:H229"/>
    <mergeCell ref="B227:H227"/>
    <mergeCell ref="J228:P228"/>
    <mergeCell ref="J229:P229"/>
    <mergeCell ref="B337:H337"/>
  </mergeCells>
  <printOptions horizontalCentered="1" verticalCentered="1"/>
  <pageMargins left="0.75" right="0.75" top="0" bottom="0" header="0" footer="0"/>
  <pageSetup fitToHeight="6" horizontalDpi="300" verticalDpi="300" orientation="landscape" paperSize="8" scale="31" r:id="rId1"/>
  <headerFooter alignWithMargins="0">
    <oddFooter>&amp;L&amp;F&amp;C&amp;P/&amp;N&amp;R&amp;12&amp;D  &amp;T</oddFooter>
  </headerFooter>
  <rowBreaks count="4" manualBreakCount="4">
    <brk id="126" min="1" max="19" man="1"/>
    <brk id="226" min="1" max="19" man="1"/>
    <brk id="336" min="1" max="19" man="1"/>
    <brk id="460" min="1" max="19" man="1"/>
  </rowBreaks>
  <colBreaks count="1" manualBreakCount="1">
    <brk id="8" max="5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426"/>
  <sheetViews>
    <sheetView zoomScale="75" zoomScaleNormal="75" workbookViewId="0" topLeftCell="B37">
      <selection activeCell="H47" sqref="H47"/>
    </sheetView>
  </sheetViews>
  <sheetFormatPr defaultColWidth="9.140625" defaultRowHeight="12.75"/>
  <cols>
    <col min="1" max="1" width="5.8515625" style="35" hidden="1" customWidth="1"/>
    <col min="2" max="2" width="21.421875" style="40" customWidth="1"/>
    <col min="3" max="3" width="15.00390625" style="40" bestFit="1" customWidth="1"/>
    <col min="4" max="4" width="41.57421875" style="38" customWidth="1"/>
    <col min="5" max="5" width="54.140625" style="38" customWidth="1"/>
    <col min="6" max="6" width="22.28125" style="39" hidden="1" customWidth="1"/>
    <col min="7" max="7" width="22.57421875" style="39" hidden="1" customWidth="1"/>
    <col min="8" max="8" width="22.28125" style="39" customWidth="1"/>
    <col min="9" max="9" width="16.140625" style="39" hidden="1" customWidth="1"/>
    <col min="10" max="11" width="15.8515625" style="39" hidden="1" customWidth="1"/>
    <col min="12" max="16384" width="4.28125" style="40" customWidth="1"/>
  </cols>
  <sheetData>
    <row r="1" spans="2:4" ht="21" thickBot="1">
      <c r="B1" s="36" t="s">
        <v>1278</v>
      </c>
      <c r="C1" s="37" t="s">
        <v>1279</v>
      </c>
      <c r="D1" s="36"/>
    </row>
    <row r="3" spans="1:11" s="44" customFormat="1" ht="18.75">
      <c r="A3" s="35"/>
      <c r="B3" s="41" t="s">
        <v>918</v>
      </c>
      <c r="C3" s="42"/>
      <c r="D3" s="42"/>
      <c r="E3" s="42"/>
      <c r="F3" s="43"/>
      <c r="G3" s="43"/>
      <c r="H3" s="43"/>
      <c r="I3" s="43"/>
      <c r="J3" s="43"/>
      <c r="K3" s="43"/>
    </row>
    <row r="4" spans="2:11" ht="15.75">
      <c r="B4" s="41" t="s">
        <v>821</v>
      </c>
      <c r="C4" s="45"/>
      <c r="D4" s="46"/>
      <c r="E4" s="46"/>
      <c r="F4" s="43"/>
      <c r="G4" s="43"/>
      <c r="H4" s="43"/>
      <c r="I4" s="43"/>
      <c r="J4" s="43"/>
      <c r="K4" s="43"/>
    </row>
    <row r="5" spans="2:11" ht="15.75">
      <c r="B5" s="47"/>
      <c r="C5" s="48"/>
      <c r="D5" s="47"/>
      <c r="E5" s="49"/>
      <c r="F5" s="50"/>
      <c r="G5" s="50"/>
      <c r="H5" s="50"/>
      <c r="I5" s="50"/>
      <c r="J5" s="50"/>
      <c r="K5" s="50"/>
    </row>
    <row r="6" spans="4:11" ht="16.5" thickBot="1">
      <c r="D6" s="51"/>
      <c r="E6" s="52"/>
      <c r="F6" s="50"/>
      <c r="G6" s="50"/>
      <c r="H6" s="53" t="s">
        <v>1280</v>
      </c>
      <c r="I6" s="54"/>
      <c r="J6" s="50"/>
      <c r="K6" s="50"/>
    </row>
    <row r="7" spans="2:11" ht="15.75" customHeight="1">
      <c r="B7" s="55"/>
      <c r="C7" s="56"/>
      <c r="D7" s="57"/>
      <c r="E7" s="1"/>
      <c r="F7" s="1" t="s">
        <v>1281</v>
      </c>
      <c r="G7" s="1" t="s">
        <v>1241</v>
      </c>
      <c r="H7" s="1" t="s">
        <v>1429</v>
      </c>
      <c r="I7" s="58" t="s">
        <v>1312</v>
      </c>
      <c r="J7" s="58" t="s">
        <v>1312</v>
      </c>
      <c r="K7" s="58" t="s">
        <v>1312</v>
      </c>
    </row>
    <row r="8" spans="2:11" ht="15.75" customHeight="1">
      <c r="B8" s="59" t="s">
        <v>1450</v>
      </c>
      <c r="C8" s="60"/>
      <c r="D8" s="61"/>
      <c r="E8" s="2" t="s">
        <v>1080</v>
      </c>
      <c r="F8" s="2">
        <v>2005</v>
      </c>
      <c r="G8" s="2">
        <v>2005</v>
      </c>
      <c r="H8" s="2">
        <v>2006</v>
      </c>
      <c r="I8" s="34"/>
      <c r="J8" s="34"/>
      <c r="K8" s="34"/>
    </row>
    <row r="9" spans="2:11" ht="15.75" customHeight="1" thickBot="1">
      <c r="B9" s="62"/>
      <c r="C9" s="63"/>
      <c r="D9" s="64"/>
      <c r="E9" s="6"/>
      <c r="F9" s="65" t="s">
        <v>1131</v>
      </c>
      <c r="G9" s="65" t="s">
        <v>1129</v>
      </c>
      <c r="H9" s="65" t="s">
        <v>1130</v>
      </c>
      <c r="I9" s="66" t="s">
        <v>1430</v>
      </c>
      <c r="J9" s="66" t="s">
        <v>1431</v>
      </c>
      <c r="K9" s="66" t="s">
        <v>1432</v>
      </c>
    </row>
    <row r="10" spans="2:11" ht="15.75" customHeight="1">
      <c r="B10" s="67"/>
      <c r="C10" s="68"/>
      <c r="D10" s="69"/>
      <c r="E10" s="70"/>
      <c r="F10" s="71"/>
      <c r="G10" s="71"/>
      <c r="H10" s="71"/>
      <c r="I10" s="72">
        <f>IF(F10=0,"",(G10-F10)/F10)</f>
      </c>
      <c r="J10" s="72">
        <f>IF(F10=0,"",(H10-F10)/F10)</f>
      </c>
      <c r="K10" s="72">
        <f>IF(G10=0,"",(H10-G10)/G10)</f>
      </c>
    </row>
    <row r="11" spans="2:11" ht="15.75" customHeight="1">
      <c r="B11" s="30"/>
      <c r="C11" s="73"/>
      <c r="D11" s="74"/>
      <c r="E11" s="7" t="s">
        <v>1291</v>
      </c>
      <c r="F11" s="71"/>
      <c r="G11" s="71"/>
      <c r="H11" s="71"/>
      <c r="I11" s="72">
        <f aca="true" t="shared" si="0" ref="I11:I74">IF(F11=0,"",(G11-F11)/F11)</f>
      </c>
      <c r="J11" s="72">
        <f aca="true" t="shared" si="1" ref="J11:J74">IF(F11=0,"",(H11-F11)/F11)</f>
      </c>
      <c r="K11" s="72">
        <f aca="true" t="shared" si="2" ref="K11:K74">IF(G11=0,"",(H11-G11)/G11)</f>
      </c>
    </row>
    <row r="12" spans="2:11" ht="15.75" customHeight="1">
      <c r="B12" s="75"/>
      <c r="C12" s="73"/>
      <c r="D12" s="76"/>
      <c r="E12" s="7"/>
      <c r="F12" s="71"/>
      <c r="G12" s="71"/>
      <c r="H12" s="71"/>
      <c r="I12" s="72">
        <f t="shared" si="0"/>
      </c>
      <c r="J12" s="72">
        <f t="shared" si="1"/>
      </c>
      <c r="K12" s="72">
        <f t="shared" si="2"/>
      </c>
    </row>
    <row r="13" spans="2:11" ht="15.75" customHeight="1">
      <c r="B13" s="77" t="s">
        <v>1433</v>
      </c>
      <c r="C13" s="78" t="s">
        <v>1434</v>
      </c>
      <c r="D13" s="78" t="s">
        <v>822</v>
      </c>
      <c r="E13" s="10" t="s">
        <v>822</v>
      </c>
      <c r="F13" s="71"/>
      <c r="G13" s="71"/>
      <c r="H13" s="71"/>
      <c r="I13" s="72">
        <f t="shared" si="0"/>
      </c>
      <c r="J13" s="72">
        <f t="shared" si="1"/>
      </c>
      <c r="K13" s="72">
        <f t="shared" si="2"/>
      </c>
    </row>
    <row r="14" spans="1:11" ht="15.75" customHeight="1">
      <c r="A14" s="35" t="str">
        <f>$C$13</f>
        <v>D111001</v>
      </c>
      <c r="B14" s="75" t="s">
        <v>1435</v>
      </c>
      <c r="C14" s="73"/>
      <c r="D14" s="76"/>
      <c r="E14" s="79" t="s">
        <v>1388</v>
      </c>
      <c r="F14" s="71"/>
      <c r="G14" s="71"/>
      <c r="H14" s="71"/>
      <c r="I14" s="72">
        <f t="shared" si="0"/>
      </c>
      <c r="J14" s="72">
        <f t="shared" si="1"/>
      </c>
      <c r="K14" s="72">
        <f t="shared" si="2"/>
      </c>
    </row>
    <row r="15" spans="1:11" ht="15.75" customHeight="1">
      <c r="A15" s="35" t="str">
        <f>$C$13</f>
        <v>D111001</v>
      </c>
      <c r="B15" s="75" t="s">
        <v>1389</v>
      </c>
      <c r="C15" s="73"/>
      <c r="D15" s="76"/>
      <c r="E15" s="79" t="s">
        <v>1390</v>
      </c>
      <c r="F15" s="71"/>
      <c r="G15" s="71"/>
      <c r="H15" s="71"/>
      <c r="I15" s="72">
        <f t="shared" si="0"/>
      </c>
      <c r="J15" s="72">
        <f t="shared" si="1"/>
      </c>
      <c r="K15" s="72">
        <f t="shared" si="2"/>
      </c>
    </row>
    <row r="16" spans="1:11" ht="15.75" customHeight="1">
      <c r="A16" s="35" t="str">
        <f>$C$13</f>
        <v>D111001</v>
      </c>
      <c r="B16" s="75" t="s">
        <v>1391</v>
      </c>
      <c r="C16" s="73"/>
      <c r="D16" s="76"/>
      <c r="E16" s="79" t="s">
        <v>237</v>
      </c>
      <c r="F16" s="71"/>
      <c r="G16" s="71"/>
      <c r="H16" s="71"/>
      <c r="I16" s="72">
        <f t="shared" si="0"/>
      </c>
      <c r="J16" s="72">
        <f t="shared" si="1"/>
      </c>
      <c r="K16" s="72">
        <f t="shared" si="2"/>
      </c>
    </row>
    <row r="17" spans="1:11" ht="15.75" customHeight="1">
      <c r="A17" s="35" t="str">
        <f>$C$13</f>
        <v>D111001</v>
      </c>
      <c r="B17" s="75" t="s">
        <v>309</v>
      </c>
      <c r="C17" s="73"/>
      <c r="D17" s="76"/>
      <c r="E17" s="79" t="s">
        <v>310</v>
      </c>
      <c r="F17" s="71"/>
      <c r="G17" s="71"/>
      <c r="H17" s="71"/>
      <c r="I17" s="72">
        <f t="shared" si="0"/>
      </c>
      <c r="J17" s="72">
        <f t="shared" si="1"/>
      </c>
      <c r="K17" s="72">
        <f t="shared" si="2"/>
      </c>
    </row>
    <row r="18" spans="1:11" ht="15.75" customHeight="1">
      <c r="A18" s="35" t="str">
        <f>$C$13</f>
        <v>D111001</v>
      </c>
      <c r="B18" s="75" t="s">
        <v>311</v>
      </c>
      <c r="C18" s="73"/>
      <c r="D18" s="76"/>
      <c r="E18" s="79" t="s">
        <v>312</v>
      </c>
      <c r="F18" s="71"/>
      <c r="G18" s="71"/>
      <c r="H18" s="71"/>
      <c r="I18" s="72">
        <f t="shared" si="0"/>
      </c>
      <c r="J18" s="72">
        <f t="shared" si="1"/>
      </c>
      <c r="K18" s="72">
        <f t="shared" si="2"/>
      </c>
    </row>
    <row r="19" spans="2:11" ht="15.75" customHeight="1">
      <c r="B19" s="75"/>
      <c r="C19" s="73"/>
      <c r="D19" s="76"/>
      <c r="E19" s="80"/>
      <c r="F19" s="71"/>
      <c r="G19" s="71"/>
      <c r="H19" s="71"/>
      <c r="I19" s="72">
        <f t="shared" si="0"/>
      </c>
      <c r="J19" s="72">
        <f t="shared" si="1"/>
      </c>
      <c r="K19" s="72">
        <f t="shared" si="2"/>
      </c>
    </row>
    <row r="20" spans="2:11" ht="15.75" customHeight="1">
      <c r="B20" s="77" t="s">
        <v>1433</v>
      </c>
      <c r="C20" s="78" t="s">
        <v>313</v>
      </c>
      <c r="D20" s="78" t="s">
        <v>314</v>
      </c>
      <c r="E20" s="10" t="s">
        <v>924</v>
      </c>
      <c r="F20" s="71"/>
      <c r="G20" s="71"/>
      <c r="H20" s="71"/>
      <c r="I20" s="72">
        <f t="shared" si="0"/>
      </c>
      <c r="J20" s="72">
        <f t="shared" si="1"/>
      </c>
      <c r="K20" s="72">
        <f t="shared" si="2"/>
      </c>
    </row>
    <row r="21" spans="2:11" ht="15.75" customHeight="1">
      <c r="B21" s="81"/>
      <c r="C21" s="73"/>
      <c r="D21" s="82"/>
      <c r="E21" s="10"/>
      <c r="F21" s="71"/>
      <c r="G21" s="71"/>
      <c r="H21" s="71"/>
      <c r="I21" s="72">
        <f t="shared" si="0"/>
      </c>
      <c r="J21" s="72">
        <f t="shared" si="1"/>
      </c>
      <c r="K21" s="72">
        <f t="shared" si="2"/>
      </c>
    </row>
    <row r="22" spans="2:11" ht="15.75" customHeight="1">
      <c r="B22" s="81"/>
      <c r="C22" s="73"/>
      <c r="D22" s="82"/>
      <c r="E22" s="10"/>
      <c r="F22" s="71"/>
      <c r="G22" s="71"/>
      <c r="H22" s="71"/>
      <c r="I22" s="72">
        <f t="shared" si="0"/>
      </c>
      <c r="J22" s="72">
        <f t="shared" si="1"/>
      </c>
      <c r="K22" s="72">
        <f t="shared" si="2"/>
      </c>
    </row>
    <row r="23" spans="2:11" ht="15.75" customHeight="1">
      <c r="B23" s="77" t="s">
        <v>1433</v>
      </c>
      <c r="C23" s="78" t="s">
        <v>315</v>
      </c>
      <c r="D23" s="78" t="s">
        <v>316</v>
      </c>
      <c r="E23" s="10"/>
      <c r="F23" s="71"/>
      <c r="G23" s="71"/>
      <c r="H23" s="71"/>
      <c r="I23" s="72">
        <f t="shared" si="0"/>
      </c>
      <c r="J23" s="72">
        <f t="shared" si="1"/>
      </c>
      <c r="K23" s="72">
        <f t="shared" si="2"/>
      </c>
    </row>
    <row r="24" spans="1:11" ht="15.75" customHeight="1">
      <c r="A24" s="35" t="str">
        <f>$C$23</f>
        <v>D111003</v>
      </c>
      <c r="B24" s="83" t="s">
        <v>317</v>
      </c>
      <c r="C24" s="73"/>
      <c r="D24" s="84"/>
      <c r="E24" s="10" t="s">
        <v>922</v>
      </c>
      <c r="F24" s="71"/>
      <c r="G24" s="71"/>
      <c r="H24" s="71"/>
      <c r="I24" s="72">
        <f t="shared" si="0"/>
      </c>
      <c r="J24" s="72">
        <f t="shared" si="1"/>
      </c>
      <c r="K24" s="72">
        <f t="shared" si="2"/>
      </c>
    </row>
    <row r="25" spans="2:11" ht="15.75" customHeight="1">
      <c r="B25" s="81"/>
      <c r="C25" s="73"/>
      <c r="D25" s="82"/>
      <c r="E25" s="10"/>
      <c r="F25" s="71"/>
      <c r="G25" s="71"/>
      <c r="H25" s="71"/>
      <c r="I25" s="72">
        <f t="shared" si="0"/>
      </c>
      <c r="J25" s="72">
        <f t="shared" si="1"/>
      </c>
      <c r="K25" s="72">
        <f t="shared" si="2"/>
      </c>
    </row>
    <row r="26" spans="1:11" ht="15.75" customHeight="1">
      <c r="A26" s="35" t="str">
        <f>$C$23</f>
        <v>D111003</v>
      </c>
      <c r="B26" s="83" t="s">
        <v>318</v>
      </c>
      <c r="C26" s="73"/>
      <c r="D26" s="84"/>
      <c r="E26" s="10" t="s">
        <v>923</v>
      </c>
      <c r="F26" s="71"/>
      <c r="G26" s="71"/>
      <c r="H26" s="71"/>
      <c r="I26" s="72">
        <f t="shared" si="0"/>
      </c>
      <c r="J26" s="72">
        <f t="shared" si="1"/>
      </c>
      <c r="K26" s="72">
        <f t="shared" si="2"/>
      </c>
    </row>
    <row r="27" spans="2:11" ht="15.75" customHeight="1">
      <c r="B27" s="81"/>
      <c r="C27" s="73"/>
      <c r="D27" s="82"/>
      <c r="E27" s="10"/>
      <c r="F27" s="71"/>
      <c r="G27" s="71"/>
      <c r="H27" s="71"/>
      <c r="I27" s="72">
        <f t="shared" si="0"/>
      </c>
      <c r="J27" s="72">
        <f t="shared" si="1"/>
      </c>
      <c r="K27" s="72">
        <f t="shared" si="2"/>
      </c>
    </row>
    <row r="28" spans="2:11" ht="15.75" customHeight="1">
      <c r="B28" s="75"/>
      <c r="C28" s="73"/>
      <c r="D28" s="76"/>
      <c r="E28" s="11"/>
      <c r="F28" s="71"/>
      <c r="G28" s="71"/>
      <c r="H28" s="71"/>
      <c r="I28" s="72">
        <f t="shared" si="0"/>
      </c>
      <c r="J28" s="72">
        <f t="shared" si="1"/>
      </c>
      <c r="K28" s="72">
        <f t="shared" si="2"/>
      </c>
    </row>
    <row r="29" spans="2:11" ht="15.75" customHeight="1">
      <c r="B29" s="77" t="s">
        <v>1433</v>
      </c>
      <c r="C29" s="78" t="s">
        <v>319</v>
      </c>
      <c r="D29" s="78" t="s">
        <v>320</v>
      </c>
      <c r="E29" s="10" t="s">
        <v>391</v>
      </c>
      <c r="F29" s="71"/>
      <c r="G29" s="71"/>
      <c r="H29" s="71"/>
      <c r="I29" s="72">
        <f t="shared" si="0"/>
      </c>
      <c r="J29" s="72">
        <f t="shared" si="1"/>
      </c>
      <c r="K29" s="72">
        <f t="shared" si="2"/>
      </c>
    </row>
    <row r="30" spans="2:11" ht="15.75" customHeight="1">
      <c r="B30" s="83"/>
      <c r="C30" s="73"/>
      <c r="D30" s="84"/>
      <c r="E30" s="10"/>
      <c r="F30" s="71"/>
      <c r="G30" s="71"/>
      <c r="H30" s="71"/>
      <c r="I30" s="72">
        <f t="shared" si="0"/>
      </c>
      <c r="J30" s="72">
        <f t="shared" si="1"/>
      </c>
      <c r="K30" s="72">
        <f t="shared" si="2"/>
      </c>
    </row>
    <row r="31" spans="2:11" ht="15.75" customHeight="1">
      <c r="B31" s="83"/>
      <c r="C31" s="73"/>
      <c r="D31" s="84"/>
      <c r="E31" s="12" t="s">
        <v>321</v>
      </c>
      <c r="F31" s="71"/>
      <c r="G31" s="71"/>
      <c r="H31" s="71"/>
      <c r="I31" s="72">
        <f t="shared" si="0"/>
      </c>
      <c r="J31" s="72">
        <f t="shared" si="1"/>
      </c>
      <c r="K31" s="72">
        <f t="shared" si="2"/>
      </c>
    </row>
    <row r="32" spans="1:11" ht="15.75" customHeight="1">
      <c r="A32" s="35" t="str">
        <f>$C$29</f>
        <v>D111004</v>
      </c>
      <c r="B32" s="83" t="s">
        <v>144</v>
      </c>
      <c r="C32" s="73"/>
      <c r="D32" s="84"/>
      <c r="E32" s="85" t="s">
        <v>29</v>
      </c>
      <c r="F32" s="71">
        <v>189152492.38</v>
      </c>
      <c r="G32" s="71">
        <v>190044643.60107198</v>
      </c>
      <c r="H32" s="187">
        <v>206438654.73667485</v>
      </c>
      <c r="I32" s="72">
        <f t="shared" si="0"/>
        <v>0.004716571322146214</v>
      </c>
      <c r="J32" s="72">
        <f t="shared" si="1"/>
        <v>0.09138744163067977</v>
      </c>
      <c r="K32" s="72">
        <f t="shared" si="2"/>
        <v>0.08626399999999994</v>
      </c>
    </row>
    <row r="33" spans="1:11" ht="15.75" customHeight="1">
      <c r="A33" s="35" t="str">
        <f aca="true" t="shared" si="3" ref="A33:A50">$C$29</f>
        <v>D111004</v>
      </c>
      <c r="B33" s="83" t="s">
        <v>1371</v>
      </c>
      <c r="C33" s="73"/>
      <c r="D33" s="84"/>
      <c r="E33" s="85" t="s">
        <v>26</v>
      </c>
      <c r="F33" s="71">
        <v>654895493.81</v>
      </c>
      <c r="G33" s="71">
        <v>679245618.1979519</v>
      </c>
      <c r="H33" s="187">
        <v>806797077.365636</v>
      </c>
      <c r="I33" s="72">
        <f t="shared" si="0"/>
        <v>0.03718169481712222</v>
      </c>
      <c r="J33" s="72">
        <f t="shared" si="1"/>
        <v>0.23194782219666052</v>
      </c>
      <c r="K33" s="72">
        <f t="shared" si="2"/>
        <v>0.1877839999999998</v>
      </c>
    </row>
    <row r="34" spans="1:11" ht="15.75" customHeight="1">
      <c r="A34" s="35" t="str">
        <f t="shared" si="3"/>
        <v>D111004</v>
      </c>
      <c r="B34" s="83" t="s">
        <v>1372</v>
      </c>
      <c r="C34" s="73"/>
      <c r="D34" s="84"/>
      <c r="E34" s="85" t="s">
        <v>28</v>
      </c>
      <c r="F34" s="71">
        <v>86495044.35</v>
      </c>
      <c r="G34" s="71">
        <v>87160493.538144</v>
      </c>
      <c r="H34" s="187">
        <v>102642986.32631159</v>
      </c>
      <c r="I34" s="72">
        <f t="shared" si="0"/>
        <v>0.00769349496430443</v>
      </c>
      <c r="J34" s="72">
        <f t="shared" si="1"/>
        <v>0.18669210586180357</v>
      </c>
      <c r="K34" s="72">
        <f t="shared" si="2"/>
        <v>0.17763199999999982</v>
      </c>
    </row>
    <row r="35" spans="2:11" ht="15.75" customHeight="1">
      <c r="B35" s="86"/>
      <c r="C35" s="73"/>
      <c r="D35" s="87"/>
      <c r="E35" s="80"/>
      <c r="F35" s="71"/>
      <c r="G35" s="71"/>
      <c r="H35" s="71"/>
      <c r="I35" s="72">
        <f t="shared" si="0"/>
      </c>
      <c r="J35" s="72">
        <f t="shared" si="1"/>
      </c>
      <c r="K35" s="72">
        <f t="shared" si="2"/>
      </c>
    </row>
    <row r="36" spans="1:11" ht="15.75" customHeight="1">
      <c r="A36" s="35" t="str">
        <f t="shared" si="3"/>
        <v>D111004</v>
      </c>
      <c r="B36" s="83" t="s">
        <v>859</v>
      </c>
      <c r="C36" s="73"/>
      <c r="D36" s="84"/>
      <c r="E36" s="12" t="s">
        <v>352</v>
      </c>
      <c r="F36" s="71"/>
      <c r="G36" s="71"/>
      <c r="H36" s="71"/>
      <c r="I36" s="72">
        <f t="shared" si="0"/>
      </c>
      <c r="J36" s="72">
        <f t="shared" si="1"/>
      </c>
      <c r="K36" s="72">
        <f t="shared" si="2"/>
      </c>
    </row>
    <row r="37" spans="1:11" ht="15.75" customHeight="1">
      <c r="A37" s="35" t="str">
        <f t="shared" si="3"/>
        <v>D111004</v>
      </c>
      <c r="B37" s="83" t="s">
        <v>860</v>
      </c>
      <c r="C37" s="73"/>
      <c r="D37" s="84"/>
      <c r="E37" s="12" t="s">
        <v>819</v>
      </c>
      <c r="F37" s="71"/>
      <c r="G37" s="71"/>
      <c r="H37" s="71"/>
      <c r="I37" s="72">
        <f t="shared" si="0"/>
      </c>
      <c r="J37" s="72">
        <f t="shared" si="1"/>
      </c>
      <c r="K37" s="72">
        <f t="shared" si="2"/>
      </c>
    </row>
    <row r="38" spans="1:11" ht="15.75" customHeight="1">
      <c r="A38" s="35" t="str">
        <f t="shared" si="3"/>
        <v>D111004</v>
      </c>
      <c r="B38" s="83" t="s">
        <v>861</v>
      </c>
      <c r="C38" s="73"/>
      <c r="D38" s="84"/>
      <c r="E38" s="12" t="s">
        <v>820</v>
      </c>
      <c r="F38" s="71"/>
      <c r="G38" s="71"/>
      <c r="H38" s="71"/>
      <c r="I38" s="72">
        <f t="shared" si="0"/>
      </c>
      <c r="J38" s="72">
        <f t="shared" si="1"/>
      </c>
      <c r="K38" s="72">
        <f t="shared" si="2"/>
      </c>
    </row>
    <row r="39" spans="1:11" ht="15.75" customHeight="1">
      <c r="A39" s="35" t="str">
        <f t="shared" si="3"/>
        <v>D111004</v>
      </c>
      <c r="B39" s="83" t="s">
        <v>862</v>
      </c>
      <c r="C39" s="73"/>
      <c r="D39" s="84"/>
      <c r="E39" s="12" t="s">
        <v>1192</v>
      </c>
      <c r="F39" s="71"/>
      <c r="G39" s="71"/>
      <c r="H39" s="71"/>
      <c r="I39" s="72">
        <f t="shared" si="0"/>
      </c>
      <c r="J39" s="72">
        <f t="shared" si="1"/>
      </c>
      <c r="K39" s="72">
        <f t="shared" si="2"/>
      </c>
    </row>
    <row r="40" spans="2:11" ht="15.75" customHeight="1">
      <c r="B40" s="86"/>
      <c r="C40" s="73"/>
      <c r="D40" s="87"/>
      <c r="E40" s="80"/>
      <c r="F40" s="71"/>
      <c r="G40" s="71"/>
      <c r="H40" s="71"/>
      <c r="I40" s="72">
        <f t="shared" si="0"/>
      </c>
      <c r="J40" s="72">
        <f t="shared" si="1"/>
      </c>
      <c r="K40" s="72">
        <f t="shared" si="2"/>
      </c>
    </row>
    <row r="41" spans="2:11" ht="15.75" customHeight="1">
      <c r="B41" s="75"/>
      <c r="C41" s="73"/>
      <c r="D41" s="76"/>
      <c r="E41" s="12" t="s">
        <v>92</v>
      </c>
      <c r="F41" s="71"/>
      <c r="G41" s="71"/>
      <c r="H41" s="71"/>
      <c r="I41" s="72">
        <f t="shared" si="0"/>
      </c>
      <c r="J41" s="72">
        <f t="shared" si="1"/>
      </c>
      <c r="K41" s="72">
        <f t="shared" si="2"/>
      </c>
    </row>
    <row r="42" spans="1:11" ht="15.75" customHeight="1">
      <c r="A42" s="35" t="str">
        <f t="shared" si="3"/>
        <v>D111004</v>
      </c>
      <c r="B42" s="83" t="s">
        <v>863</v>
      </c>
      <c r="C42" s="73"/>
      <c r="D42" s="84"/>
      <c r="E42" s="85" t="s">
        <v>29</v>
      </c>
      <c r="F42" s="71">
        <v>111893470.43</v>
      </c>
      <c r="G42" s="71">
        <v>115531330.20094915</v>
      </c>
      <c r="H42" s="187">
        <v>122539211.83633432</v>
      </c>
      <c r="I42" s="72">
        <f t="shared" si="0"/>
        <v>0.03251181464806713</v>
      </c>
      <c r="J42" s="72">
        <f t="shared" si="1"/>
        <v>0.09514175729310526</v>
      </c>
      <c r="K42" s="72">
        <f t="shared" si="2"/>
        <v>0.06065784599896866</v>
      </c>
    </row>
    <row r="43" spans="1:11" ht="15.75" customHeight="1">
      <c r="A43" s="35" t="str">
        <f t="shared" si="3"/>
        <v>D111004</v>
      </c>
      <c r="B43" s="83" t="s">
        <v>864</v>
      </c>
      <c r="C43" s="73"/>
      <c r="D43" s="84"/>
      <c r="E43" s="85" t="s">
        <v>26</v>
      </c>
      <c r="F43" s="71">
        <v>155588774.38</v>
      </c>
      <c r="G43" s="71">
        <v>154035096.80543652</v>
      </c>
      <c r="H43" s="187">
        <v>162301507.99223417</v>
      </c>
      <c r="I43" s="72">
        <f t="shared" si="0"/>
        <v>-0.009985794802707755</v>
      </c>
      <c r="J43" s="72">
        <f t="shared" si="1"/>
        <v>0.04314407410806789</v>
      </c>
      <c r="K43" s="72">
        <f t="shared" si="2"/>
        <v>0.053665764220209154</v>
      </c>
    </row>
    <row r="44" spans="1:11" ht="15.75" customHeight="1">
      <c r="A44" s="35" t="str">
        <f t="shared" si="3"/>
        <v>D111004</v>
      </c>
      <c r="B44" s="83" t="s">
        <v>865</v>
      </c>
      <c r="C44" s="73"/>
      <c r="D44" s="84"/>
      <c r="E44" s="85" t="s">
        <v>28</v>
      </c>
      <c r="F44" s="71">
        <v>1018246.89</v>
      </c>
      <c r="G44" s="71">
        <v>1067906.1412856255</v>
      </c>
      <c r="H44" s="187">
        <v>1146540.6884150128</v>
      </c>
      <c r="I44" s="72">
        <f t="shared" si="0"/>
        <v>0.04876936210001634</v>
      </c>
      <c r="J44" s="72">
        <f t="shared" si="1"/>
        <v>0.12599478542479298</v>
      </c>
      <c r="K44" s="72">
        <f t="shared" si="2"/>
        <v>0.0736343242999999</v>
      </c>
    </row>
    <row r="45" spans="2:11" ht="15.75" customHeight="1">
      <c r="B45" s="75"/>
      <c r="C45" s="73"/>
      <c r="D45" s="76"/>
      <c r="E45" s="80"/>
      <c r="F45" s="71"/>
      <c r="G45" s="71"/>
      <c r="H45" s="71"/>
      <c r="I45" s="72">
        <f t="shared" si="0"/>
      </c>
      <c r="J45" s="72">
        <f t="shared" si="1"/>
      </c>
      <c r="K45" s="72">
        <f t="shared" si="2"/>
      </c>
    </row>
    <row r="46" spans="2:11" ht="15.75" customHeight="1">
      <c r="B46" s="75"/>
      <c r="C46" s="73"/>
      <c r="D46" s="76"/>
      <c r="E46" s="12" t="s">
        <v>1497</v>
      </c>
      <c r="F46" s="71"/>
      <c r="G46" s="71"/>
      <c r="H46" s="71"/>
      <c r="I46" s="72">
        <f t="shared" si="0"/>
      </c>
      <c r="J46" s="72">
        <f t="shared" si="1"/>
      </c>
      <c r="K46" s="72">
        <f t="shared" si="2"/>
      </c>
    </row>
    <row r="47" spans="1:11" ht="15.75" customHeight="1">
      <c r="A47" s="35" t="str">
        <f t="shared" si="3"/>
        <v>D111004</v>
      </c>
      <c r="B47" s="75" t="s">
        <v>302</v>
      </c>
      <c r="C47" s="73"/>
      <c r="D47" s="76"/>
      <c r="E47" s="85" t="s">
        <v>29</v>
      </c>
      <c r="F47" s="71">
        <v>10195999.33</v>
      </c>
      <c r="G47" s="71">
        <v>9738656.324127253</v>
      </c>
      <c r="H47" s="187">
        <v>10229657.97200614</v>
      </c>
      <c r="I47" s="72">
        <f t="shared" si="0"/>
        <v>-0.04485514279381057</v>
      </c>
      <c r="J47" s="72">
        <f t="shared" si="1"/>
        <v>0.0033011616533854954</v>
      </c>
      <c r="K47" s="72">
        <f t="shared" si="2"/>
        <v>0.050417802162547216</v>
      </c>
    </row>
    <row r="48" spans="1:11" ht="15.75" customHeight="1">
      <c r="A48" s="35" t="str">
        <f t="shared" si="3"/>
        <v>D111004</v>
      </c>
      <c r="B48" s="75" t="s">
        <v>303</v>
      </c>
      <c r="C48" s="73"/>
      <c r="D48" s="76"/>
      <c r="E48" s="85" t="s">
        <v>26</v>
      </c>
      <c r="F48" s="71">
        <v>12708966.93</v>
      </c>
      <c r="G48" s="71">
        <v>12338236.673997458</v>
      </c>
      <c r="H48" s="187">
        <v>12874866.376868282</v>
      </c>
      <c r="I48" s="72">
        <f t="shared" si="0"/>
        <v>-0.02917076250528426</v>
      </c>
      <c r="J48" s="72">
        <f t="shared" si="1"/>
        <v>0.013053731887260629</v>
      </c>
      <c r="K48" s="72">
        <f t="shared" si="2"/>
        <v>0.04349322492749372</v>
      </c>
    </row>
    <row r="49" spans="2:11" ht="15.75" customHeight="1">
      <c r="B49" s="75"/>
      <c r="C49" s="73"/>
      <c r="D49" s="76"/>
      <c r="E49" s="85"/>
      <c r="F49" s="71"/>
      <c r="G49" s="71"/>
      <c r="H49" s="71"/>
      <c r="I49" s="72">
        <f t="shared" si="0"/>
      </c>
      <c r="J49" s="72">
        <f t="shared" si="1"/>
      </c>
      <c r="K49" s="72">
        <f t="shared" si="2"/>
      </c>
    </row>
    <row r="50" spans="1:11" ht="15.75" customHeight="1">
      <c r="A50" s="35" t="str">
        <f t="shared" si="3"/>
        <v>D111004</v>
      </c>
      <c r="B50" s="75" t="s">
        <v>304</v>
      </c>
      <c r="C50" s="73"/>
      <c r="D50" s="76"/>
      <c r="E50" s="12" t="s">
        <v>1418</v>
      </c>
      <c r="F50" s="71"/>
      <c r="G50" s="71"/>
      <c r="H50" s="71"/>
      <c r="I50" s="72">
        <f t="shared" si="0"/>
      </c>
      <c r="J50" s="72">
        <f t="shared" si="1"/>
      </c>
      <c r="K50" s="72">
        <f t="shared" si="2"/>
      </c>
    </row>
    <row r="51" spans="2:11" ht="15.75" customHeight="1">
      <c r="B51" s="81"/>
      <c r="C51" s="73"/>
      <c r="D51" s="82"/>
      <c r="E51" s="80"/>
      <c r="F51" s="71"/>
      <c r="G51" s="71"/>
      <c r="H51" s="71"/>
      <c r="I51" s="72">
        <f t="shared" si="0"/>
      </c>
      <c r="J51" s="72">
        <f t="shared" si="1"/>
      </c>
      <c r="K51" s="72">
        <f t="shared" si="2"/>
      </c>
    </row>
    <row r="52" spans="2:11" ht="15.75" customHeight="1">
      <c r="B52" s="77" t="s">
        <v>1433</v>
      </c>
      <c r="C52" s="78" t="s">
        <v>305</v>
      </c>
      <c r="D52" s="88" t="s">
        <v>899</v>
      </c>
      <c r="E52" s="10" t="s">
        <v>1498</v>
      </c>
      <c r="F52" s="71"/>
      <c r="G52" s="71"/>
      <c r="H52" s="71"/>
      <c r="I52" s="72">
        <f t="shared" si="0"/>
      </c>
      <c r="J52" s="72">
        <f t="shared" si="1"/>
      </c>
      <c r="K52" s="72">
        <f t="shared" si="2"/>
      </c>
    </row>
    <row r="53" spans="2:11" ht="15.75" customHeight="1">
      <c r="B53" s="75"/>
      <c r="C53" s="73"/>
      <c r="D53" s="76"/>
      <c r="E53" s="12" t="s">
        <v>92</v>
      </c>
      <c r="F53" s="71"/>
      <c r="G53" s="71"/>
      <c r="H53" s="71"/>
      <c r="I53" s="72">
        <f t="shared" si="0"/>
      </c>
      <c r="J53" s="72">
        <f t="shared" si="1"/>
      </c>
      <c r="K53" s="72">
        <f t="shared" si="2"/>
      </c>
    </row>
    <row r="54" spans="1:11" ht="15.75" customHeight="1">
      <c r="A54" s="35" t="str">
        <f>$C$52</f>
        <v>D111005</v>
      </c>
      <c r="B54" s="75" t="s">
        <v>900</v>
      </c>
      <c r="C54" s="73"/>
      <c r="D54" s="76"/>
      <c r="E54" s="85" t="s">
        <v>29</v>
      </c>
      <c r="F54" s="71">
        <v>4260139.02</v>
      </c>
      <c r="G54" s="71">
        <v>4606369.793116224</v>
      </c>
      <c r="H54" s="187">
        <v>4511988.103445051</v>
      </c>
      <c r="I54" s="72">
        <f t="shared" si="0"/>
        <v>0.08127217714980214</v>
      </c>
      <c r="J54" s="72">
        <f t="shared" si="1"/>
        <v>0.05911757392486495</v>
      </c>
      <c r="K54" s="72">
        <f t="shared" si="2"/>
        <v>-0.020489386200000074</v>
      </c>
    </row>
    <row r="55" spans="1:11" ht="15.75" customHeight="1">
      <c r="A55" s="35" t="str">
        <f aca="true" t="shared" si="4" ref="A55:A60">$C$52</f>
        <v>D111005</v>
      </c>
      <c r="B55" s="75" t="s">
        <v>901</v>
      </c>
      <c r="C55" s="73"/>
      <c r="D55" s="76"/>
      <c r="E55" s="85" t="s">
        <v>26</v>
      </c>
      <c r="F55" s="71">
        <v>52271617.31</v>
      </c>
      <c r="G55" s="71">
        <v>50911883.543636136</v>
      </c>
      <c r="H55" s="187">
        <v>48486723.651826106</v>
      </c>
      <c r="I55" s="72">
        <f t="shared" si="0"/>
        <v>-0.0260128504978119</v>
      </c>
      <c r="J55" s="72">
        <f t="shared" si="1"/>
        <v>-0.07240819880753555</v>
      </c>
      <c r="K55" s="72">
        <f t="shared" si="2"/>
        <v>-0.0476344563000001</v>
      </c>
    </row>
    <row r="56" spans="1:11" ht="15.75" customHeight="1">
      <c r="A56" s="35" t="str">
        <f t="shared" si="4"/>
        <v>D111005</v>
      </c>
      <c r="B56" s="75" t="s">
        <v>902</v>
      </c>
      <c r="C56" s="73"/>
      <c r="D56" s="76"/>
      <c r="E56" s="85" t="s">
        <v>28</v>
      </c>
      <c r="F56" s="71">
        <v>1213341.94</v>
      </c>
      <c r="G56" s="71">
        <v>1175491.9103507008</v>
      </c>
      <c r="H56" s="187">
        <v>1187839.0841261544</v>
      </c>
      <c r="I56" s="72">
        <f t="shared" si="0"/>
        <v>-0.03119485810347832</v>
      </c>
      <c r="J56" s="72">
        <f t="shared" si="1"/>
        <v>-0.021018688164562677</v>
      </c>
      <c r="K56" s="72">
        <f t="shared" si="2"/>
        <v>0.010503835599999903</v>
      </c>
    </row>
    <row r="57" spans="2:11" ht="15.75" customHeight="1">
      <c r="B57" s="75"/>
      <c r="C57" s="73"/>
      <c r="D57" s="76"/>
      <c r="E57" s="12" t="s">
        <v>1497</v>
      </c>
      <c r="F57" s="71"/>
      <c r="G57" s="71"/>
      <c r="H57" s="187"/>
      <c r="I57" s="72">
        <f t="shared" si="0"/>
      </c>
      <c r="J57" s="72">
        <f t="shared" si="1"/>
      </c>
      <c r="K57" s="72">
        <f t="shared" si="2"/>
      </c>
    </row>
    <row r="58" spans="1:11" ht="15.75" customHeight="1">
      <c r="A58" s="35" t="str">
        <f t="shared" si="4"/>
        <v>D111005</v>
      </c>
      <c r="B58" s="75" t="s">
        <v>615</v>
      </c>
      <c r="C58" s="73"/>
      <c r="D58" s="76"/>
      <c r="E58" s="85" t="s">
        <v>29</v>
      </c>
      <c r="F58" s="71">
        <v>452027.76</v>
      </c>
      <c r="G58" s="71">
        <v>390048.26706397685</v>
      </c>
      <c r="H58" s="187">
        <v>378367.881658479</v>
      </c>
      <c r="I58" s="72">
        <f t="shared" si="0"/>
        <v>-0.13711435097707972</v>
      </c>
      <c r="J58" s="72">
        <f t="shared" si="1"/>
        <v>-0.1629543246227201</v>
      </c>
      <c r="K58" s="72">
        <f t="shared" si="2"/>
        <v>-0.02994600000000002</v>
      </c>
    </row>
    <row r="59" spans="1:11" ht="15.75" customHeight="1">
      <c r="A59" s="35" t="str">
        <f t="shared" si="4"/>
        <v>D111005</v>
      </c>
      <c r="B59" s="75" t="s">
        <v>616</v>
      </c>
      <c r="C59" s="73"/>
      <c r="D59" s="76"/>
      <c r="E59" s="85" t="s">
        <v>26</v>
      </c>
      <c r="F59" s="71">
        <v>6929720.62</v>
      </c>
      <c r="G59" s="71">
        <v>6072954.786287454</v>
      </c>
      <c r="H59" s="187">
        <v>5727834.838737524</v>
      </c>
      <c r="I59" s="72">
        <f t="shared" si="0"/>
        <v>-0.12363641778570665</v>
      </c>
      <c r="J59" s="72">
        <f t="shared" si="1"/>
        <v>-0.17343928379936274</v>
      </c>
      <c r="K59" s="72">
        <f t="shared" si="2"/>
        <v>-0.05682900000000002</v>
      </c>
    </row>
    <row r="60" spans="1:11" ht="15.75" customHeight="1">
      <c r="A60" s="35" t="str">
        <f t="shared" si="4"/>
        <v>D111005</v>
      </c>
      <c r="B60" s="75" t="s">
        <v>770</v>
      </c>
      <c r="C60" s="73"/>
      <c r="D60" s="76"/>
      <c r="E60" s="12" t="s">
        <v>23</v>
      </c>
      <c r="F60" s="71"/>
      <c r="G60" s="71"/>
      <c r="H60" s="71"/>
      <c r="I60" s="72">
        <f t="shared" si="0"/>
      </c>
      <c r="J60" s="72">
        <f t="shared" si="1"/>
      </c>
      <c r="K60" s="72">
        <f t="shared" si="2"/>
      </c>
    </row>
    <row r="61" spans="2:11" ht="15.75" customHeight="1">
      <c r="B61" s="75"/>
      <c r="C61" s="73"/>
      <c r="D61" s="76"/>
      <c r="E61" s="80"/>
      <c r="F61" s="71"/>
      <c r="G61" s="71"/>
      <c r="H61" s="71"/>
      <c r="I61" s="72">
        <f t="shared" si="0"/>
      </c>
      <c r="J61" s="72">
        <f t="shared" si="1"/>
      </c>
      <c r="K61" s="72">
        <f t="shared" si="2"/>
      </c>
    </row>
    <row r="62" spans="2:11" ht="15.75" customHeight="1">
      <c r="B62" s="77" t="s">
        <v>1433</v>
      </c>
      <c r="C62" s="78" t="s">
        <v>771</v>
      </c>
      <c r="D62" s="88" t="s">
        <v>772</v>
      </c>
      <c r="E62" s="10" t="s">
        <v>663</v>
      </c>
      <c r="F62" s="71"/>
      <c r="G62" s="71"/>
      <c r="H62" s="71"/>
      <c r="I62" s="72">
        <f t="shared" si="0"/>
      </c>
      <c r="J62" s="72">
        <f t="shared" si="1"/>
      </c>
      <c r="K62" s="72">
        <f t="shared" si="2"/>
      </c>
    </row>
    <row r="63" spans="2:11" ht="15.75" customHeight="1">
      <c r="B63" s="75"/>
      <c r="C63" s="73"/>
      <c r="D63" s="76"/>
      <c r="E63" s="12" t="s">
        <v>92</v>
      </c>
      <c r="F63" s="71"/>
      <c r="G63" s="71"/>
      <c r="H63" s="71"/>
      <c r="I63" s="72">
        <f t="shared" si="0"/>
      </c>
      <c r="J63" s="72">
        <f t="shared" si="1"/>
      </c>
      <c r="K63" s="72">
        <f t="shared" si="2"/>
      </c>
    </row>
    <row r="64" spans="1:11" ht="15.75" customHeight="1">
      <c r="A64" s="35" t="str">
        <f>$C$62</f>
        <v>D111006</v>
      </c>
      <c r="B64" s="75" t="s">
        <v>664</v>
      </c>
      <c r="C64" s="73"/>
      <c r="D64" s="76"/>
      <c r="E64" s="85" t="s">
        <v>29</v>
      </c>
      <c r="F64" s="71">
        <v>35820936.38</v>
      </c>
      <c r="G64" s="71">
        <v>35761159.04618401</v>
      </c>
      <c r="H64" s="187">
        <v>32792955.201974798</v>
      </c>
      <c r="I64" s="72">
        <f t="shared" si="0"/>
        <v>-0.001668781998936452</v>
      </c>
      <c r="J64" s="72">
        <f t="shared" si="1"/>
        <v>-0.08453104480305616</v>
      </c>
      <c r="K64" s="72">
        <f t="shared" si="2"/>
        <v>-0.08300077299999992</v>
      </c>
    </row>
    <row r="65" spans="1:11" ht="15.75" customHeight="1">
      <c r="A65" s="35" t="str">
        <f>$C$62</f>
        <v>D111006</v>
      </c>
      <c r="B65" s="75" t="s">
        <v>665</v>
      </c>
      <c r="C65" s="73"/>
      <c r="D65" s="76"/>
      <c r="E65" s="85" t="s">
        <v>26</v>
      </c>
      <c r="F65" s="71">
        <v>711110232.94</v>
      </c>
      <c r="G65" s="71">
        <v>720323593.7746243</v>
      </c>
      <c r="H65" s="187">
        <v>704472632.5055335</v>
      </c>
      <c r="I65" s="72">
        <f t="shared" si="0"/>
        <v>0.012956304673795445</v>
      </c>
      <c r="J65" s="72">
        <f t="shared" si="1"/>
        <v>-0.009334137137957131</v>
      </c>
      <c r="K65" s="72">
        <f t="shared" si="2"/>
        <v>-0.022005333999999946</v>
      </c>
    </row>
    <row r="66" spans="1:11" ht="15.75" customHeight="1">
      <c r="A66" s="35" t="str">
        <f>$C$62</f>
        <v>D111006</v>
      </c>
      <c r="B66" s="75" t="s">
        <v>666</v>
      </c>
      <c r="C66" s="73"/>
      <c r="D66" s="76"/>
      <c r="E66" s="85" t="s">
        <v>28</v>
      </c>
      <c r="F66" s="71">
        <v>134958013.23</v>
      </c>
      <c r="G66" s="71">
        <v>137051392.61795896</v>
      </c>
      <c r="H66" s="187">
        <v>138427815.78903407</v>
      </c>
      <c r="I66" s="72">
        <f t="shared" si="0"/>
        <v>0.015511338214436857</v>
      </c>
      <c r="J66" s="72">
        <f t="shared" si="1"/>
        <v>0.02571023739895107</v>
      </c>
      <c r="K66" s="72">
        <f t="shared" si="2"/>
        <v>0.010043117000000054</v>
      </c>
    </row>
    <row r="67" spans="1:11" ht="15.75" customHeight="1">
      <c r="A67" s="35" t="str">
        <f>$C$62</f>
        <v>D111006</v>
      </c>
      <c r="B67" s="75" t="s">
        <v>1095</v>
      </c>
      <c r="C67" s="73"/>
      <c r="D67" s="76"/>
      <c r="E67" s="12" t="s">
        <v>23</v>
      </c>
      <c r="F67" s="71">
        <v>364042.67</v>
      </c>
      <c r="G67" s="71">
        <v>356734.13520486205</v>
      </c>
      <c r="H67" s="71">
        <v>408645.5989783007</v>
      </c>
      <c r="I67" s="72">
        <f t="shared" si="0"/>
        <v>-0.020076038875162457</v>
      </c>
      <c r="J67" s="72">
        <f t="shared" si="1"/>
        <v>0.1225211565949143</v>
      </c>
      <c r="K67" s="72">
        <f t="shared" si="2"/>
        <v>0.1455186332074092</v>
      </c>
    </row>
    <row r="68" spans="2:11" ht="15.75" customHeight="1">
      <c r="B68" s="75"/>
      <c r="C68" s="73"/>
      <c r="D68" s="76"/>
      <c r="E68" s="80"/>
      <c r="F68" s="71"/>
      <c r="G68" s="71"/>
      <c r="H68" s="71"/>
      <c r="I68" s="72">
        <f t="shared" si="0"/>
      </c>
      <c r="J68" s="72">
        <f t="shared" si="1"/>
      </c>
      <c r="K68" s="72">
        <f t="shared" si="2"/>
      </c>
    </row>
    <row r="69" spans="2:11" ht="15.75" customHeight="1">
      <c r="B69" s="77" t="s">
        <v>1433</v>
      </c>
      <c r="C69" s="78" t="s">
        <v>1096</v>
      </c>
      <c r="D69" s="78" t="s">
        <v>143</v>
      </c>
      <c r="E69" s="10" t="s">
        <v>477</v>
      </c>
      <c r="F69" s="71"/>
      <c r="G69" s="71"/>
      <c r="H69" s="71"/>
      <c r="I69" s="72">
        <f t="shared" si="0"/>
      </c>
      <c r="J69" s="72">
        <f t="shared" si="1"/>
      </c>
      <c r="K69" s="72">
        <f t="shared" si="2"/>
      </c>
    </row>
    <row r="70" spans="2:11" ht="15.75" customHeight="1">
      <c r="B70" s="75"/>
      <c r="C70" s="73"/>
      <c r="D70" s="76"/>
      <c r="E70" s="12" t="s">
        <v>92</v>
      </c>
      <c r="F70" s="71"/>
      <c r="G70" s="71"/>
      <c r="H70" s="71"/>
      <c r="I70" s="72">
        <f t="shared" si="0"/>
      </c>
      <c r="J70" s="72">
        <f t="shared" si="1"/>
      </c>
      <c r="K70" s="72">
        <f t="shared" si="2"/>
      </c>
    </row>
    <row r="71" spans="1:11" ht="15.75" customHeight="1">
      <c r="A71" s="35" t="str">
        <f>$C$69</f>
        <v>D111007</v>
      </c>
      <c r="B71" s="83" t="s">
        <v>478</v>
      </c>
      <c r="C71" s="73"/>
      <c r="D71" s="84"/>
      <c r="E71" s="85" t="s">
        <v>29</v>
      </c>
      <c r="F71" s="71">
        <v>613.81</v>
      </c>
      <c r="G71" s="71">
        <v>1365.4264107682357</v>
      </c>
      <c r="H71" s="187">
        <v>0</v>
      </c>
      <c r="I71" s="72">
        <f t="shared" si="0"/>
        <v>1.2245098821593583</v>
      </c>
      <c r="J71" s="72">
        <f t="shared" si="1"/>
        <v>-1</v>
      </c>
      <c r="K71" s="72">
        <f t="shared" si="2"/>
        <v>-1</v>
      </c>
    </row>
    <row r="72" spans="1:11" ht="15.75" customHeight="1">
      <c r="A72" s="35" t="str">
        <f>$C$69</f>
        <v>D111007</v>
      </c>
      <c r="B72" s="75" t="s">
        <v>947</v>
      </c>
      <c r="C72" s="73"/>
      <c r="D72" s="76"/>
      <c r="E72" s="85" t="s">
        <v>26</v>
      </c>
      <c r="F72" s="71">
        <v>46237294.79</v>
      </c>
      <c r="G72" s="71">
        <v>43870330.3548145</v>
      </c>
      <c r="H72" s="187">
        <v>42261429.859382026</v>
      </c>
      <c r="I72" s="72">
        <f t="shared" si="0"/>
        <v>-0.05119167213254475</v>
      </c>
      <c r="J72" s="72">
        <f t="shared" si="1"/>
        <v>-0.08598826874875595</v>
      </c>
      <c r="K72" s="72">
        <f t="shared" si="2"/>
        <v>-0.03667400000000015</v>
      </c>
    </row>
    <row r="73" spans="1:11" ht="15">
      <c r="A73" s="35" t="str">
        <f>$C$69</f>
        <v>D111007</v>
      </c>
      <c r="B73" s="75" t="s">
        <v>1406</v>
      </c>
      <c r="C73" s="73"/>
      <c r="D73" s="76"/>
      <c r="E73" s="85" t="s">
        <v>28</v>
      </c>
      <c r="F73" s="71">
        <v>25019107.85</v>
      </c>
      <c r="G73" s="71">
        <v>21895123.941179503</v>
      </c>
      <c r="H73" s="187">
        <v>23203605.011565514</v>
      </c>
      <c r="I73" s="72">
        <f t="shared" si="0"/>
        <v>-0.12486392110982081</v>
      </c>
      <c r="J73" s="72">
        <f t="shared" si="1"/>
        <v>-0.07256465135844112</v>
      </c>
      <c r="K73" s="72">
        <f t="shared" si="2"/>
        <v>0.059761300000000024</v>
      </c>
    </row>
    <row r="74" spans="1:11" ht="15">
      <c r="A74" s="35" t="str">
        <f>$C$69</f>
        <v>D111007</v>
      </c>
      <c r="B74" s="75" t="s">
        <v>1407</v>
      </c>
      <c r="C74" s="73"/>
      <c r="D74" s="76"/>
      <c r="E74" s="12" t="s">
        <v>23</v>
      </c>
      <c r="F74" s="71">
        <v>3414.78</v>
      </c>
      <c r="G74" s="71">
        <v>3415.1742331288347</v>
      </c>
      <c r="H74" s="71">
        <v>4324.490562685838</v>
      </c>
      <c r="I74" s="72">
        <f t="shared" si="0"/>
        <v>0.00011544905640611037</v>
      </c>
      <c r="J74" s="72">
        <f t="shared" si="1"/>
        <v>0.26640385696467644</v>
      </c>
      <c r="K74" s="72">
        <f t="shared" si="2"/>
        <v>0.2662576687116567</v>
      </c>
    </row>
    <row r="75" spans="2:11" ht="15">
      <c r="B75" s="75"/>
      <c r="C75" s="73"/>
      <c r="D75" s="76"/>
      <c r="E75" s="80"/>
      <c r="F75" s="71"/>
      <c r="G75" s="71"/>
      <c r="H75" s="71"/>
      <c r="I75" s="72">
        <f aca="true" t="shared" si="5" ref="I75:I137">IF(F75=0,"",(G75-F75)/F75)</f>
      </c>
      <c r="J75" s="72">
        <f aca="true" t="shared" si="6" ref="J75:J137">IF(F75=0,"",(H75-F75)/F75)</f>
      </c>
      <c r="K75" s="72">
        <f aca="true" t="shared" si="7" ref="K75:K137">IF(G75=0,"",(H75-G75)/G75)</f>
      </c>
    </row>
    <row r="76" spans="2:11" ht="15.75">
      <c r="B76" s="77" t="s">
        <v>1433</v>
      </c>
      <c r="C76" s="78" t="s">
        <v>1408</v>
      </c>
      <c r="D76" s="88" t="s">
        <v>1411</v>
      </c>
      <c r="E76" s="10" t="s">
        <v>218</v>
      </c>
      <c r="F76" s="71"/>
      <c r="G76" s="71"/>
      <c r="H76" s="187"/>
      <c r="I76" s="72">
        <f t="shared" si="5"/>
      </c>
      <c r="J76" s="72">
        <f t="shared" si="6"/>
      </c>
      <c r="K76" s="72">
        <f t="shared" si="7"/>
      </c>
    </row>
    <row r="77" spans="1:11" ht="15">
      <c r="A77" s="35" t="str">
        <f>$C$76</f>
        <v>D111008</v>
      </c>
      <c r="B77" s="83" t="s">
        <v>219</v>
      </c>
      <c r="C77" s="73"/>
      <c r="D77" s="84"/>
      <c r="E77" s="12" t="s">
        <v>29</v>
      </c>
      <c r="F77" s="71">
        <v>355062.13</v>
      </c>
      <c r="G77" s="71">
        <v>334225.48742592</v>
      </c>
      <c r="H77" s="187">
        <v>304358.02834798</v>
      </c>
      <c r="I77" s="72">
        <f t="shared" si="5"/>
        <v>-0.05868449720075761</v>
      </c>
      <c r="J77" s="72">
        <f t="shared" si="6"/>
        <v>-0.14280346274050687</v>
      </c>
      <c r="K77" s="72">
        <f t="shared" si="7"/>
        <v>-0.0893632</v>
      </c>
    </row>
    <row r="78" spans="1:11" ht="15">
      <c r="A78" s="35" t="str">
        <f>$C$76</f>
        <v>D111008</v>
      </c>
      <c r="B78" s="75" t="s">
        <v>220</v>
      </c>
      <c r="C78" s="73"/>
      <c r="D78" s="76"/>
      <c r="E78" s="12" t="s">
        <v>26</v>
      </c>
      <c r="F78" s="71">
        <v>21363462.9</v>
      </c>
      <c r="G78" s="71">
        <v>18891750.41093376</v>
      </c>
      <c r="H78" s="187">
        <v>17831303.5634669</v>
      </c>
      <c r="I78" s="72">
        <f t="shared" si="5"/>
        <v>-0.11569811975877</v>
      </c>
      <c r="J78" s="72">
        <f t="shared" si="6"/>
        <v>-0.16533646034197477</v>
      </c>
      <c r="K78" s="72">
        <f t="shared" si="7"/>
        <v>-0.056132799999999865</v>
      </c>
    </row>
    <row r="79" spans="1:11" ht="15">
      <c r="A79" s="35" t="str">
        <f>$C$76</f>
        <v>D111008</v>
      </c>
      <c r="B79" s="75" t="s">
        <v>632</v>
      </c>
      <c r="C79" s="73"/>
      <c r="D79" s="76"/>
      <c r="E79" s="12" t="s">
        <v>28</v>
      </c>
      <c r="F79" s="71">
        <v>4747536.36</v>
      </c>
      <c r="G79" s="71">
        <v>4432859.677343072</v>
      </c>
      <c r="H79" s="187">
        <v>4407734.228691892</v>
      </c>
      <c r="I79" s="72">
        <f t="shared" si="5"/>
        <v>-0.06628210060868875</v>
      </c>
      <c r="J79" s="72">
        <f t="shared" si="6"/>
        <v>-0.0715744136624387</v>
      </c>
      <c r="K79" s="72">
        <f t="shared" si="7"/>
        <v>-0.005668000000000015</v>
      </c>
    </row>
    <row r="80" spans="2:11" ht="15.75" thickBot="1">
      <c r="B80" s="89"/>
      <c r="C80" s="90"/>
      <c r="D80" s="91"/>
      <c r="E80" s="92"/>
      <c r="F80" s="93"/>
      <c r="G80" s="93"/>
      <c r="H80" s="93"/>
      <c r="I80" s="94">
        <f t="shared" si="5"/>
      </c>
      <c r="J80" s="94">
        <f t="shared" si="6"/>
      </c>
      <c r="K80" s="94">
        <f t="shared" si="7"/>
      </c>
    </row>
    <row r="81" spans="2:11" ht="15.75">
      <c r="B81" s="95"/>
      <c r="C81" s="56"/>
      <c r="D81" s="96"/>
      <c r="E81" s="97" t="s">
        <v>1062</v>
      </c>
      <c r="F81" s="98"/>
      <c r="G81" s="98"/>
      <c r="H81" s="98"/>
      <c r="I81" s="99">
        <f t="shared" si="5"/>
      </c>
      <c r="J81" s="99">
        <f t="shared" si="6"/>
      </c>
      <c r="K81" s="99">
        <f t="shared" si="7"/>
      </c>
    </row>
    <row r="82" spans="1:11" s="104" customFormat="1" ht="15.75">
      <c r="A82" s="100"/>
      <c r="B82" s="83"/>
      <c r="C82" s="101"/>
      <c r="D82" s="84"/>
      <c r="E82" s="7"/>
      <c r="F82" s="102"/>
      <c r="G82" s="102"/>
      <c r="H82" s="102"/>
      <c r="I82" s="103">
        <f t="shared" si="5"/>
      </c>
      <c r="J82" s="103">
        <f t="shared" si="6"/>
      </c>
      <c r="K82" s="103">
        <f t="shared" si="7"/>
      </c>
    </row>
    <row r="83" spans="2:11" ht="15.75">
      <c r="B83" s="77" t="s">
        <v>1433</v>
      </c>
      <c r="C83" s="78" t="s">
        <v>594</v>
      </c>
      <c r="D83" s="78" t="s">
        <v>1557</v>
      </c>
      <c r="E83" s="10" t="s">
        <v>391</v>
      </c>
      <c r="F83" s="71"/>
      <c r="G83" s="71"/>
      <c r="H83" s="71"/>
      <c r="I83" s="72">
        <f t="shared" si="5"/>
      </c>
      <c r="J83" s="72">
        <f t="shared" si="6"/>
      </c>
      <c r="K83" s="72">
        <f t="shared" si="7"/>
      </c>
    </row>
    <row r="84" spans="2:11" ht="15.75">
      <c r="B84" s="105"/>
      <c r="C84" s="73"/>
      <c r="D84" s="106"/>
      <c r="E84" s="107" t="s">
        <v>107</v>
      </c>
      <c r="F84" s="71"/>
      <c r="G84" s="71"/>
      <c r="H84" s="71"/>
      <c r="I84" s="72">
        <f t="shared" si="5"/>
      </c>
      <c r="J84" s="72">
        <f t="shared" si="6"/>
      </c>
      <c r="K84" s="72">
        <f t="shared" si="7"/>
      </c>
    </row>
    <row r="85" spans="1:11" ht="15">
      <c r="A85" s="35" t="str">
        <f>$C$83</f>
        <v>D111010</v>
      </c>
      <c r="B85" s="108" t="s">
        <v>1558</v>
      </c>
      <c r="C85" s="73"/>
      <c r="D85" s="109"/>
      <c r="E85" s="85" t="s">
        <v>1559</v>
      </c>
      <c r="F85" s="71"/>
      <c r="G85" s="71"/>
      <c r="H85" s="71"/>
      <c r="I85" s="72">
        <f t="shared" si="5"/>
      </c>
      <c r="J85" s="72">
        <f t="shared" si="6"/>
      </c>
      <c r="K85" s="72">
        <f t="shared" si="7"/>
      </c>
    </row>
    <row r="86" spans="2:11" ht="18">
      <c r="B86" s="108"/>
      <c r="C86" s="73"/>
      <c r="D86" s="109"/>
      <c r="E86" s="110"/>
      <c r="F86" s="71"/>
      <c r="G86" s="71"/>
      <c r="H86" s="71"/>
      <c r="I86" s="72">
        <f t="shared" si="5"/>
      </c>
      <c r="J86" s="72">
        <f t="shared" si="6"/>
      </c>
      <c r="K86" s="72">
        <f t="shared" si="7"/>
      </c>
    </row>
    <row r="87" spans="2:11" ht="15.75">
      <c r="B87" s="108"/>
      <c r="C87" s="73"/>
      <c r="D87" s="109"/>
      <c r="E87" s="107" t="s">
        <v>806</v>
      </c>
      <c r="F87" s="71"/>
      <c r="G87" s="71"/>
      <c r="H87" s="71"/>
      <c r="I87" s="72">
        <f t="shared" si="5"/>
      </c>
      <c r="J87" s="72">
        <f t="shared" si="6"/>
      </c>
      <c r="K87" s="72">
        <f t="shared" si="7"/>
      </c>
    </row>
    <row r="88" spans="1:11" ht="15">
      <c r="A88" s="35" t="str">
        <f>$C$83</f>
        <v>D111010</v>
      </c>
      <c r="B88" s="108" t="s">
        <v>1110</v>
      </c>
      <c r="C88" s="73"/>
      <c r="D88" s="109"/>
      <c r="E88" s="85" t="s">
        <v>578</v>
      </c>
      <c r="F88" s="71"/>
      <c r="G88" s="71"/>
      <c r="H88" s="71"/>
      <c r="I88" s="72">
        <f t="shared" si="5"/>
      </c>
      <c r="J88" s="72">
        <f t="shared" si="6"/>
      </c>
      <c r="K88" s="72">
        <f t="shared" si="7"/>
      </c>
    </row>
    <row r="89" spans="1:11" ht="15">
      <c r="A89" s="35" t="str">
        <f>$C$83</f>
        <v>D111010</v>
      </c>
      <c r="B89" s="108" t="s">
        <v>1172</v>
      </c>
      <c r="C89" s="73"/>
      <c r="D89" s="109"/>
      <c r="E89" s="85" t="s">
        <v>108</v>
      </c>
      <c r="F89" s="71"/>
      <c r="G89" s="71"/>
      <c r="H89" s="71"/>
      <c r="I89" s="72">
        <f t="shared" si="5"/>
      </c>
      <c r="J89" s="72">
        <f t="shared" si="6"/>
      </c>
      <c r="K89" s="72">
        <f t="shared" si="7"/>
      </c>
    </row>
    <row r="90" spans="1:11" ht="15">
      <c r="A90" s="35" t="str">
        <f>$C$83</f>
        <v>D111010</v>
      </c>
      <c r="B90" s="108" t="s">
        <v>873</v>
      </c>
      <c r="C90" s="73"/>
      <c r="D90" s="109"/>
      <c r="E90" s="85" t="s">
        <v>874</v>
      </c>
      <c r="F90" s="71"/>
      <c r="G90" s="71"/>
      <c r="H90" s="71"/>
      <c r="I90" s="72">
        <f t="shared" si="5"/>
      </c>
      <c r="J90" s="72">
        <f t="shared" si="6"/>
      </c>
      <c r="K90" s="72">
        <f t="shared" si="7"/>
      </c>
    </row>
    <row r="91" spans="1:11" ht="15">
      <c r="A91" s="35" t="str">
        <f>$C$83</f>
        <v>D111010</v>
      </c>
      <c r="B91" s="108" t="s">
        <v>875</v>
      </c>
      <c r="C91" s="73"/>
      <c r="D91" s="109"/>
      <c r="E91" s="85" t="s">
        <v>778</v>
      </c>
      <c r="F91" s="71"/>
      <c r="G91" s="71"/>
      <c r="H91" s="71"/>
      <c r="I91" s="72">
        <f t="shared" si="5"/>
      </c>
      <c r="J91" s="72">
        <f t="shared" si="6"/>
      </c>
      <c r="K91" s="72">
        <f t="shared" si="7"/>
      </c>
    </row>
    <row r="92" spans="1:11" ht="15">
      <c r="A92" s="35" t="str">
        <f>$C$83</f>
        <v>D111010</v>
      </c>
      <c r="B92" s="108" t="s">
        <v>779</v>
      </c>
      <c r="C92" s="73"/>
      <c r="D92" s="109"/>
      <c r="E92" s="85" t="s">
        <v>780</v>
      </c>
      <c r="F92" s="71"/>
      <c r="G92" s="71"/>
      <c r="H92" s="71"/>
      <c r="I92" s="72">
        <f t="shared" si="5"/>
      </c>
      <c r="J92" s="72">
        <f t="shared" si="6"/>
      </c>
      <c r="K92" s="72">
        <f t="shared" si="7"/>
      </c>
    </row>
    <row r="93" spans="2:11" ht="15">
      <c r="B93" s="108"/>
      <c r="C93" s="73"/>
      <c r="D93" s="109"/>
      <c r="E93" s="11"/>
      <c r="F93" s="71"/>
      <c r="G93" s="71"/>
      <c r="H93" s="71"/>
      <c r="I93" s="72">
        <f t="shared" si="5"/>
      </c>
      <c r="J93" s="72">
        <f t="shared" si="6"/>
      </c>
      <c r="K93" s="72">
        <f t="shared" si="7"/>
      </c>
    </row>
    <row r="94" spans="2:11" ht="15.75">
      <c r="B94" s="108"/>
      <c r="C94" s="73"/>
      <c r="D94" s="109"/>
      <c r="E94" s="107" t="s">
        <v>156</v>
      </c>
      <c r="F94" s="71"/>
      <c r="G94" s="71"/>
      <c r="H94" s="71"/>
      <c r="I94" s="72">
        <f t="shared" si="5"/>
      </c>
      <c r="J94" s="72">
        <f t="shared" si="6"/>
      </c>
      <c r="K94" s="72">
        <f t="shared" si="7"/>
      </c>
    </row>
    <row r="95" spans="2:11" ht="15">
      <c r="B95" s="108"/>
      <c r="C95" s="73"/>
      <c r="D95" s="109"/>
      <c r="E95" s="85" t="s">
        <v>109</v>
      </c>
      <c r="F95" s="71"/>
      <c r="G95" s="71"/>
      <c r="H95" s="71"/>
      <c r="I95" s="72">
        <f t="shared" si="5"/>
      </c>
      <c r="J95" s="72">
        <f t="shared" si="6"/>
      </c>
      <c r="K95" s="72">
        <f t="shared" si="7"/>
      </c>
    </row>
    <row r="96" spans="1:11" ht="15">
      <c r="A96" s="35" t="str">
        <f>$C$83</f>
        <v>D111010</v>
      </c>
      <c r="B96" s="108" t="s">
        <v>781</v>
      </c>
      <c r="C96" s="73"/>
      <c r="D96" s="109"/>
      <c r="E96" s="111" t="s">
        <v>29</v>
      </c>
      <c r="F96" s="71">
        <v>22252717.98</v>
      </c>
      <c r="G96" s="71">
        <v>22181967.89519</v>
      </c>
      <c r="H96" s="187">
        <v>23716120.441688377</v>
      </c>
      <c r="I96" s="72">
        <f t="shared" si="5"/>
        <v>-0.0031793907096466924</v>
      </c>
      <c r="J96" s="72">
        <f t="shared" si="6"/>
        <v>0.06576286379954278</v>
      </c>
      <c r="K96" s="72">
        <f t="shared" si="7"/>
        <v>0.0691621479999999</v>
      </c>
    </row>
    <row r="97" spans="1:11" ht="15">
      <c r="A97" s="35" t="str">
        <f>$C$83</f>
        <v>D111010</v>
      </c>
      <c r="B97" s="108" t="s">
        <v>1145</v>
      </c>
      <c r="C97" s="73"/>
      <c r="D97" s="109"/>
      <c r="E97" s="112" t="s">
        <v>26</v>
      </c>
      <c r="F97" s="71">
        <v>7547548.3</v>
      </c>
      <c r="G97" s="71">
        <v>7648586.849843999</v>
      </c>
      <c r="H97" s="187">
        <v>7772677.990224524</v>
      </c>
      <c r="I97" s="72">
        <f t="shared" si="5"/>
        <v>0.01338693650281106</v>
      </c>
      <c r="J97" s="72">
        <f t="shared" si="6"/>
        <v>0.029828188078574416</v>
      </c>
      <c r="K97" s="72">
        <f t="shared" si="7"/>
        <v>0.01622406109999993</v>
      </c>
    </row>
    <row r="98" spans="1:11" ht="15">
      <c r="A98" s="35" t="str">
        <f>$C$83</f>
        <v>D111010</v>
      </c>
      <c r="B98" s="108" t="s">
        <v>1146</v>
      </c>
      <c r="C98" s="73"/>
      <c r="D98" s="109"/>
      <c r="E98" s="112" t="s">
        <v>28</v>
      </c>
      <c r="F98" s="71"/>
      <c r="G98" s="71"/>
      <c r="H98" s="71"/>
      <c r="I98" s="72">
        <f t="shared" si="5"/>
      </c>
      <c r="J98" s="72">
        <f t="shared" si="6"/>
      </c>
      <c r="K98" s="72">
        <f t="shared" si="7"/>
      </c>
    </row>
    <row r="99" spans="2:11" ht="15">
      <c r="B99" s="108"/>
      <c r="C99" s="73"/>
      <c r="D99" s="109"/>
      <c r="E99" s="11"/>
      <c r="F99" s="71"/>
      <c r="G99" s="71"/>
      <c r="H99" s="71"/>
      <c r="I99" s="72">
        <f t="shared" si="5"/>
      </c>
      <c r="J99" s="72">
        <f t="shared" si="6"/>
      </c>
      <c r="K99" s="72">
        <f t="shared" si="7"/>
      </c>
    </row>
    <row r="100" spans="2:11" ht="15.75">
      <c r="B100" s="77" t="s">
        <v>1433</v>
      </c>
      <c r="C100" s="78" t="s">
        <v>1147</v>
      </c>
      <c r="D100" s="88" t="s">
        <v>83</v>
      </c>
      <c r="E100" s="10" t="s">
        <v>1498</v>
      </c>
      <c r="F100" s="71"/>
      <c r="G100" s="71"/>
      <c r="H100" s="71"/>
      <c r="I100" s="72">
        <f t="shared" si="5"/>
      </c>
      <c r="J100" s="72">
        <f t="shared" si="6"/>
      </c>
      <c r="K100" s="72">
        <f t="shared" si="7"/>
      </c>
    </row>
    <row r="101" spans="2:11" ht="15.75">
      <c r="B101" s="108"/>
      <c r="C101" s="73"/>
      <c r="D101" s="109"/>
      <c r="E101" s="107" t="s">
        <v>107</v>
      </c>
      <c r="F101" s="71"/>
      <c r="G101" s="71"/>
      <c r="H101" s="71"/>
      <c r="I101" s="72">
        <f t="shared" si="5"/>
      </c>
      <c r="J101" s="72">
        <f t="shared" si="6"/>
      </c>
      <c r="K101" s="72">
        <f t="shared" si="7"/>
      </c>
    </row>
    <row r="102" spans="1:11" ht="15">
      <c r="A102" s="35" t="str">
        <f>$C$100</f>
        <v>D111011</v>
      </c>
      <c r="B102" s="108" t="s">
        <v>84</v>
      </c>
      <c r="C102" s="73"/>
      <c r="D102" s="109"/>
      <c r="E102" s="85" t="s">
        <v>260</v>
      </c>
      <c r="F102" s="71"/>
      <c r="G102" s="71"/>
      <c r="H102" s="71"/>
      <c r="I102" s="72">
        <f t="shared" si="5"/>
      </c>
      <c r="J102" s="72">
        <f t="shared" si="6"/>
      </c>
      <c r="K102" s="72">
        <f t="shared" si="7"/>
      </c>
    </row>
    <row r="103" spans="1:11" ht="15">
      <c r="A103" s="35" t="str">
        <f>$C$100</f>
        <v>D111011</v>
      </c>
      <c r="B103" s="108" t="s">
        <v>933</v>
      </c>
      <c r="C103" s="73"/>
      <c r="D103" s="109"/>
      <c r="E103" s="85" t="s">
        <v>1418</v>
      </c>
      <c r="F103" s="71"/>
      <c r="G103" s="71"/>
      <c r="H103" s="71"/>
      <c r="I103" s="72">
        <f t="shared" si="5"/>
      </c>
      <c r="J103" s="72">
        <f t="shared" si="6"/>
      </c>
      <c r="K103" s="72">
        <f t="shared" si="7"/>
      </c>
    </row>
    <row r="104" spans="2:11" ht="15">
      <c r="B104" s="108"/>
      <c r="C104" s="73"/>
      <c r="D104" s="109"/>
      <c r="E104" s="85"/>
      <c r="F104" s="71"/>
      <c r="G104" s="71"/>
      <c r="H104" s="71"/>
      <c r="I104" s="72">
        <f t="shared" si="5"/>
      </c>
      <c r="J104" s="72">
        <f t="shared" si="6"/>
      </c>
      <c r="K104" s="72">
        <f t="shared" si="7"/>
      </c>
    </row>
    <row r="105" spans="2:11" ht="15.75">
      <c r="B105" s="108"/>
      <c r="C105" s="73"/>
      <c r="D105" s="109"/>
      <c r="E105" s="107" t="s">
        <v>806</v>
      </c>
      <c r="F105" s="71"/>
      <c r="G105" s="71"/>
      <c r="H105" s="71"/>
      <c r="I105" s="72">
        <f t="shared" si="5"/>
      </c>
      <c r="J105" s="72">
        <f t="shared" si="6"/>
      </c>
      <c r="K105" s="72">
        <f t="shared" si="7"/>
      </c>
    </row>
    <row r="106" spans="1:11" ht="15">
      <c r="A106" s="35" t="str">
        <f>$C$100</f>
        <v>D111011</v>
      </c>
      <c r="B106" s="108" t="s">
        <v>934</v>
      </c>
      <c r="C106" s="73"/>
      <c r="D106" s="109"/>
      <c r="E106" s="85" t="s">
        <v>578</v>
      </c>
      <c r="F106" s="71"/>
      <c r="G106" s="71"/>
      <c r="H106" s="71"/>
      <c r="I106" s="72">
        <f t="shared" si="5"/>
      </c>
      <c r="J106" s="72">
        <f t="shared" si="6"/>
      </c>
      <c r="K106" s="72">
        <f t="shared" si="7"/>
      </c>
    </row>
    <row r="107" spans="1:11" ht="15">
      <c r="A107" s="35" t="str">
        <f>$C$100</f>
        <v>D111011</v>
      </c>
      <c r="B107" s="108" t="s">
        <v>935</v>
      </c>
      <c r="C107" s="73"/>
      <c r="D107" s="109"/>
      <c r="E107" s="85" t="s">
        <v>108</v>
      </c>
      <c r="F107" s="71"/>
      <c r="G107" s="71"/>
      <c r="H107" s="71"/>
      <c r="I107" s="72">
        <f t="shared" si="5"/>
      </c>
      <c r="J107" s="72">
        <f t="shared" si="6"/>
      </c>
      <c r="K107" s="72">
        <f t="shared" si="7"/>
      </c>
    </row>
    <row r="108" spans="1:11" ht="15">
      <c r="A108" s="35" t="str">
        <f>$C$100</f>
        <v>D111011</v>
      </c>
      <c r="B108" s="108" t="s">
        <v>936</v>
      </c>
      <c r="C108" s="73"/>
      <c r="D108" s="109"/>
      <c r="E108" s="85" t="s">
        <v>1148</v>
      </c>
      <c r="F108" s="71"/>
      <c r="G108" s="71"/>
      <c r="H108" s="71"/>
      <c r="I108" s="72">
        <f t="shared" si="5"/>
      </c>
      <c r="J108" s="72">
        <f t="shared" si="6"/>
      </c>
      <c r="K108" s="72">
        <f t="shared" si="7"/>
      </c>
    </row>
    <row r="109" spans="1:11" ht="15">
      <c r="A109" s="35" t="str">
        <f>$C$100</f>
        <v>D111011</v>
      </c>
      <c r="B109" s="108" t="s">
        <v>937</v>
      </c>
      <c r="C109" s="73"/>
      <c r="D109" s="109"/>
      <c r="E109" s="85" t="s">
        <v>1103</v>
      </c>
      <c r="F109" s="71"/>
      <c r="G109" s="71"/>
      <c r="H109" s="71"/>
      <c r="I109" s="72">
        <f t="shared" si="5"/>
      </c>
      <c r="J109" s="72">
        <f t="shared" si="6"/>
      </c>
      <c r="K109" s="72">
        <f t="shared" si="7"/>
      </c>
    </row>
    <row r="110" spans="1:11" ht="15">
      <c r="A110" s="35" t="str">
        <f>$C$100</f>
        <v>D111011</v>
      </c>
      <c r="B110" s="108" t="s">
        <v>938</v>
      </c>
      <c r="C110" s="73"/>
      <c r="D110" s="109"/>
      <c r="E110" s="85" t="s">
        <v>1294</v>
      </c>
      <c r="F110" s="71"/>
      <c r="G110" s="71"/>
      <c r="H110" s="71"/>
      <c r="I110" s="72">
        <f t="shared" si="5"/>
      </c>
      <c r="J110" s="72">
        <f t="shared" si="6"/>
      </c>
      <c r="K110" s="72">
        <f t="shared" si="7"/>
      </c>
    </row>
    <row r="111" spans="2:11" ht="15">
      <c r="B111" s="108"/>
      <c r="C111" s="73"/>
      <c r="D111" s="109"/>
      <c r="E111" s="11"/>
      <c r="F111" s="71"/>
      <c r="G111" s="71"/>
      <c r="H111" s="71"/>
      <c r="I111" s="72">
        <f t="shared" si="5"/>
      </c>
      <c r="J111" s="72">
        <f t="shared" si="6"/>
      </c>
      <c r="K111" s="72">
        <f t="shared" si="7"/>
      </c>
    </row>
    <row r="112" spans="2:11" ht="15.75">
      <c r="B112" s="108"/>
      <c r="C112" s="73"/>
      <c r="D112" s="109"/>
      <c r="E112" s="107" t="s">
        <v>156</v>
      </c>
      <c r="F112" s="71"/>
      <c r="G112" s="71"/>
      <c r="H112" s="71"/>
      <c r="I112" s="72">
        <f t="shared" si="5"/>
      </c>
      <c r="J112" s="72">
        <f t="shared" si="6"/>
      </c>
      <c r="K112" s="72">
        <f t="shared" si="7"/>
      </c>
    </row>
    <row r="113" spans="2:11" ht="15">
      <c r="B113" s="108"/>
      <c r="C113" s="73"/>
      <c r="D113" s="109"/>
      <c r="E113" s="12" t="s">
        <v>109</v>
      </c>
      <c r="F113" s="71"/>
      <c r="G113" s="71"/>
      <c r="H113" s="71"/>
      <c r="I113" s="72">
        <f t="shared" si="5"/>
      </c>
      <c r="J113" s="72">
        <f t="shared" si="6"/>
      </c>
      <c r="K113" s="72">
        <f t="shared" si="7"/>
      </c>
    </row>
    <row r="114" spans="1:11" ht="15">
      <c r="A114" s="35" t="str">
        <f>$C$100</f>
        <v>D111011</v>
      </c>
      <c r="B114" s="108" t="s">
        <v>939</v>
      </c>
      <c r="C114" s="73"/>
      <c r="D114" s="109"/>
      <c r="E114" s="85" t="s">
        <v>29</v>
      </c>
      <c r="F114" s="71">
        <v>1140387.42</v>
      </c>
      <c r="G114" s="71">
        <v>1031294.49768771</v>
      </c>
      <c r="H114" s="187">
        <v>1035369.7376143876</v>
      </c>
      <c r="I114" s="72">
        <f t="shared" si="5"/>
        <v>-0.09566303556057287</v>
      </c>
      <c r="J114" s="72">
        <f t="shared" si="6"/>
        <v>-0.09208947814034311</v>
      </c>
      <c r="K114" s="72">
        <f t="shared" si="7"/>
        <v>0.003951577300000005</v>
      </c>
    </row>
    <row r="115" spans="1:11" ht="15">
      <c r="A115" s="35" t="str">
        <f>$C$100</f>
        <v>D111011</v>
      </c>
      <c r="B115" s="108" t="s">
        <v>940</v>
      </c>
      <c r="C115" s="73"/>
      <c r="D115" s="109"/>
      <c r="E115" s="85" t="s">
        <v>26</v>
      </c>
      <c r="F115" s="71">
        <v>8545615.84</v>
      </c>
      <c r="G115" s="71">
        <v>6638721.30160977</v>
      </c>
      <c r="H115" s="187">
        <v>6047688.636698709</v>
      </c>
      <c r="I115" s="72">
        <f t="shared" si="5"/>
        <v>-0.22314302141508732</v>
      </c>
      <c r="J115" s="72">
        <f t="shared" si="6"/>
        <v>-0.29230511294564476</v>
      </c>
      <c r="K115" s="72">
        <f t="shared" si="7"/>
        <v>-0.08902808810000003</v>
      </c>
    </row>
    <row r="116" spans="1:11" ht="15">
      <c r="A116" s="35" t="str">
        <f>$C$100</f>
        <v>D111011</v>
      </c>
      <c r="B116" s="108" t="s">
        <v>941</v>
      </c>
      <c r="C116" s="73"/>
      <c r="D116" s="109"/>
      <c r="E116" s="85" t="s">
        <v>28</v>
      </c>
      <c r="F116" s="71">
        <v>146574.89</v>
      </c>
      <c r="G116" s="71">
        <v>129941.05243012</v>
      </c>
      <c r="H116" s="187">
        <v>128494.9362226391</v>
      </c>
      <c r="I116" s="72">
        <f t="shared" si="5"/>
        <v>-0.11348354121145857</v>
      </c>
      <c r="J116" s="72">
        <f t="shared" si="6"/>
        <v>-0.12334959812939936</v>
      </c>
      <c r="K116" s="72">
        <f t="shared" si="7"/>
        <v>-0.011129017200000027</v>
      </c>
    </row>
    <row r="117" spans="2:11" ht="15">
      <c r="B117" s="108"/>
      <c r="C117" s="73"/>
      <c r="D117" s="109"/>
      <c r="E117" s="11"/>
      <c r="F117" s="71"/>
      <c r="G117" s="71"/>
      <c r="H117" s="71"/>
      <c r="I117" s="72">
        <f t="shared" si="5"/>
      </c>
      <c r="J117" s="72">
        <f t="shared" si="6"/>
      </c>
      <c r="K117" s="72">
        <f t="shared" si="7"/>
      </c>
    </row>
    <row r="118" spans="2:11" ht="15.75">
      <c r="B118" s="77" t="s">
        <v>1433</v>
      </c>
      <c r="C118" s="78" t="s">
        <v>942</v>
      </c>
      <c r="D118" s="78" t="s">
        <v>943</v>
      </c>
      <c r="E118" s="10" t="s">
        <v>663</v>
      </c>
      <c r="F118" s="71"/>
      <c r="G118" s="71"/>
      <c r="H118" s="71"/>
      <c r="I118" s="72">
        <f t="shared" si="5"/>
      </c>
      <c r="J118" s="72">
        <f t="shared" si="6"/>
      </c>
      <c r="K118" s="72">
        <f t="shared" si="7"/>
      </c>
    </row>
    <row r="119" spans="2:11" ht="15.75">
      <c r="B119" s="108"/>
      <c r="C119" s="73"/>
      <c r="D119" s="109"/>
      <c r="E119" s="107" t="s">
        <v>107</v>
      </c>
      <c r="F119" s="71"/>
      <c r="G119" s="71"/>
      <c r="H119" s="71"/>
      <c r="I119" s="72">
        <f t="shared" si="5"/>
      </c>
      <c r="J119" s="72">
        <f t="shared" si="6"/>
      </c>
      <c r="K119" s="72">
        <f t="shared" si="7"/>
      </c>
    </row>
    <row r="120" spans="1:11" ht="15">
      <c r="A120" s="35" t="str">
        <f>$C$118</f>
        <v>D111012</v>
      </c>
      <c r="B120" s="108" t="s">
        <v>944</v>
      </c>
      <c r="C120" s="73"/>
      <c r="D120" s="109"/>
      <c r="E120" s="85" t="s">
        <v>1418</v>
      </c>
      <c r="F120" s="71"/>
      <c r="G120" s="71"/>
      <c r="H120" s="71"/>
      <c r="I120" s="72">
        <f t="shared" si="5"/>
      </c>
      <c r="J120" s="72">
        <f t="shared" si="6"/>
      </c>
      <c r="K120" s="72">
        <f t="shared" si="7"/>
      </c>
    </row>
    <row r="121" spans="2:11" ht="15.75">
      <c r="B121" s="108"/>
      <c r="C121" s="73"/>
      <c r="D121" s="109"/>
      <c r="E121" s="113" t="s">
        <v>156</v>
      </c>
      <c r="F121" s="71"/>
      <c r="G121" s="71"/>
      <c r="H121" s="71"/>
      <c r="I121" s="72">
        <f t="shared" si="5"/>
      </c>
      <c r="J121" s="72">
        <f t="shared" si="6"/>
      </c>
      <c r="K121" s="72">
        <f t="shared" si="7"/>
      </c>
    </row>
    <row r="122" spans="2:11" ht="15">
      <c r="B122" s="108"/>
      <c r="C122" s="73"/>
      <c r="D122" s="109"/>
      <c r="E122" s="112" t="s">
        <v>109</v>
      </c>
      <c r="F122" s="71"/>
      <c r="G122" s="71"/>
      <c r="H122" s="71"/>
      <c r="I122" s="72">
        <f t="shared" si="5"/>
      </c>
      <c r="J122" s="72">
        <f t="shared" si="6"/>
      </c>
      <c r="K122" s="72">
        <f t="shared" si="7"/>
      </c>
    </row>
    <row r="123" spans="1:11" ht="15">
      <c r="A123" s="35" t="str">
        <f>$C$118</f>
        <v>D111012</v>
      </c>
      <c r="B123" s="108" t="s">
        <v>945</v>
      </c>
      <c r="C123" s="73"/>
      <c r="D123" s="109"/>
      <c r="E123" s="114" t="s">
        <v>29</v>
      </c>
      <c r="F123" s="71">
        <v>2292370.14</v>
      </c>
      <c r="G123" s="71">
        <v>2190964.5494363643</v>
      </c>
      <c r="H123" s="187">
        <v>2178430.4706780906</v>
      </c>
      <c r="I123" s="72">
        <f t="shared" si="5"/>
        <v>-0.04423613307213808</v>
      </c>
      <c r="J123" s="72">
        <f t="shared" si="6"/>
        <v>-0.04970387082511445</v>
      </c>
      <c r="K123" s="72">
        <f t="shared" si="7"/>
        <v>-0.005720803999999995</v>
      </c>
    </row>
    <row r="124" spans="1:11" ht="15">
      <c r="A124" s="35" t="str">
        <f>$C$118</f>
        <v>D111012</v>
      </c>
      <c r="B124" s="108" t="s">
        <v>78</v>
      </c>
      <c r="C124" s="73"/>
      <c r="D124" s="109"/>
      <c r="E124" s="114" t="s">
        <v>26</v>
      </c>
      <c r="F124" s="71">
        <v>63017206.89</v>
      </c>
      <c r="G124" s="71">
        <v>63218942.33549918</v>
      </c>
      <c r="H124" s="187">
        <v>66006718.144376576</v>
      </c>
      <c r="I124" s="72">
        <f t="shared" si="5"/>
        <v>0.0032012755794036075</v>
      </c>
      <c r="J124" s="72">
        <f t="shared" si="6"/>
        <v>0.04743960264051264</v>
      </c>
      <c r="K124" s="72">
        <f t="shared" si="7"/>
        <v>0.044097159900000106</v>
      </c>
    </row>
    <row r="125" spans="1:11" ht="15">
      <c r="A125" s="35" t="str">
        <f>$C$118</f>
        <v>D111012</v>
      </c>
      <c r="B125" s="108" t="s">
        <v>79</v>
      </c>
      <c r="C125" s="73"/>
      <c r="D125" s="109"/>
      <c r="E125" s="114" t="s">
        <v>28</v>
      </c>
      <c r="F125" s="71">
        <v>2297403.82</v>
      </c>
      <c r="G125" s="71">
        <v>2252638.024627106</v>
      </c>
      <c r="H125" s="187">
        <v>2453886.325609955</v>
      </c>
      <c r="I125" s="72">
        <f t="shared" si="5"/>
        <v>-0.019485383885578304</v>
      </c>
      <c r="J125" s="72">
        <f t="shared" si="6"/>
        <v>0.06811275590634092</v>
      </c>
      <c r="K125" s="72">
        <f t="shared" si="7"/>
        <v>0.08933894340000018</v>
      </c>
    </row>
    <row r="126" spans="2:11" ht="15">
      <c r="B126" s="108"/>
      <c r="C126" s="73"/>
      <c r="D126" s="109"/>
      <c r="E126" s="13"/>
      <c r="F126" s="71"/>
      <c r="G126" s="71"/>
      <c r="H126" s="187"/>
      <c r="I126" s="72">
        <f t="shared" si="5"/>
      </c>
      <c r="J126" s="72">
        <f t="shared" si="6"/>
      </c>
      <c r="K126" s="72">
        <f t="shared" si="7"/>
      </c>
    </row>
    <row r="127" spans="2:11" ht="15.75">
      <c r="B127" s="77" t="s">
        <v>1433</v>
      </c>
      <c r="C127" s="78" t="s">
        <v>80</v>
      </c>
      <c r="D127" s="115" t="s">
        <v>81</v>
      </c>
      <c r="E127" s="10" t="s">
        <v>81</v>
      </c>
      <c r="F127" s="71"/>
      <c r="G127" s="71"/>
      <c r="H127" s="187"/>
      <c r="I127" s="72">
        <f t="shared" si="5"/>
      </c>
      <c r="J127" s="72">
        <f t="shared" si="6"/>
      </c>
      <c r="K127" s="72">
        <f t="shared" si="7"/>
      </c>
    </row>
    <row r="128" spans="1:11" ht="15">
      <c r="A128" s="35" t="str">
        <f>$C$127</f>
        <v>D111013</v>
      </c>
      <c r="B128" s="108" t="s">
        <v>463</v>
      </c>
      <c r="C128" s="73"/>
      <c r="D128" s="109"/>
      <c r="E128" s="12" t="s">
        <v>29</v>
      </c>
      <c r="F128" s="71">
        <v>5200000</v>
      </c>
      <c r="G128" s="71">
        <v>5062617.193014177</v>
      </c>
      <c r="H128" s="187">
        <v>4599713.192843427</v>
      </c>
      <c r="I128" s="72">
        <f t="shared" si="5"/>
        <v>-0.026419770574196814</v>
      </c>
      <c r="J128" s="72">
        <f t="shared" si="6"/>
        <v>-0.11543977060703328</v>
      </c>
      <c r="K128" s="72">
        <f t="shared" si="7"/>
        <v>-0.09143571052725522</v>
      </c>
    </row>
    <row r="129" spans="1:11" ht="15">
      <c r="A129" s="35" t="str">
        <f>$C$127</f>
        <v>D111013</v>
      </c>
      <c r="B129" s="108" t="s">
        <v>464</v>
      </c>
      <c r="C129" s="73"/>
      <c r="D129" s="109"/>
      <c r="E129" s="12" t="s">
        <v>26</v>
      </c>
      <c r="F129" s="71">
        <v>5400000</v>
      </c>
      <c r="G129" s="71">
        <v>6889373.165699645</v>
      </c>
      <c r="H129" s="187">
        <v>5853541.688290388</v>
      </c>
      <c r="I129" s="72">
        <f t="shared" si="5"/>
        <v>0.27580984549993426</v>
      </c>
      <c r="J129" s="72">
        <f t="shared" si="6"/>
        <v>0.0839892015352571</v>
      </c>
      <c r="K129" s="72">
        <f t="shared" si="7"/>
        <v>-0.15035206433095913</v>
      </c>
    </row>
    <row r="130" spans="1:11" ht="15">
      <c r="A130" s="35" t="str">
        <f>$C$127</f>
        <v>D111013</v>
      </c>
      <c r="B130" s="108" t="s">
        <v>465</v>
      </c>
      <c r="C130" s="73"/>
      <c r="D130" s="109"/>
      <c r="E130" s="12" t="s">
        <v>28</v>
      </c>
      <c r="F130" s="71">
        <v>200000</v>
      </c>
      <c r="G130" s="71">
        <v>836483.1316041644</v>
      </c>
      <c r="H130" s="187">
        <v>718815.7591946757</v>
      </c>
      <c r="I130" s="72">
        <f t="shared" si="5"/>
        <v>3.182415658020822</v>
      </c>
      <c r="J130" s="72">
        <f t="shared" si="6"/>
        <v>2.5940787959733784</v>
      </c>
      <c r="K130" s="72">
        <f t="shared" si="7"/>
        <v>-0.14066915155100881</v>
      </c>
    </row>
    <row r="131" spans="2:11" ht="15">
      <c r="B131" s="108"/>
      <c r="C131" s="73"/>
      <c r="D131" s="109"/>
      <c r="E131" s="12"/>
      <c r="F131" s="71"/>
      <c r="G131" s="71"/>
      <c r="H131" s="71"/>
      <c r="I131" s="72">
        <f t="shared" si="5"/>
      </c>
      <c r="J131" s="72">
        <f t="shared" si="6"/>
      </c>
      <c r="K131" s="72">
        <f t="shared" si="7"/>
      </c>
    </row>
    <row r="132" spans="2:11" ht="15">
      <c r="B132" s="108"/>
      <c r="C132" s="73"/>
      <c r="D132" s="109"/>
      <c r="E132" s="12"/>
      <c r="F132" s="71"/>
      <c r="G132" s="71"/>
      <c r="H132" s="71"/>
      <c r="I132" s="72">
        <f t="shared" si="5"/>
      </c>
      <c r="J132" s="72">
        <f t="shared" si="6"/>
      </c>
      <c r="K132" s="72">
        <f t="shared" si="7"/>
      </c>
    </row>
    <row r="133" spans="2:11" ht="15.75">
      <c r="B133" s="108"/>
      <c r="C133" s="73"/>
      <c r="D133" s="109"/>
      <c r="E133" s="7" t="s">
        <v>466</v>
      </c>
      <c r="F133" s="71"/>
      <c r="G133" s="71"/>
      <c r="H133" s="71"/>
      <c r="I133" s="72">
        <f t="shared" si="5"/>
      </c>
      <c r="J133" s="72">
        <f t="shared" si="6"/>
      </c>
      <c r="K133" s="72">
        <f t="shared" si="7"/>
      </c>
    </row>
    <row r="134" spans="2:11" ht="15.75">
      <c r="B134" s="77" t="s">
        <v>1433</v>
      </c>
      <c r="C134" s="78" t="s">
        <v>467</v>
      </c>
      <c r="D134" s="88" t="s">
        <v>468</v>
      </c>
      <c r="E134" s="10" t="s">
        <v>1551</v>
      </c>
      <c r="F134" s="71"/>
      <c r="G134" s="71"/>
      <c r="H134" s="71"/>
      <c r="I134" s="72">
        <f t="shared" si="5"/>
      </c>
      <c r="J134" s="72">
        <f t="shared" si="6"/>
      </c>
      <c r="K134" s="72">
        <f t="shared" si="7"/>
      </c>
    </row>
    <row r="135" spans="1:11" ht="15">
      <c r="A135" s="35" t="str">
        <f>$C$134</f>
        <v>D121001</v>
      </c>
      <c r="B135" s="108" t="s">
        <v>469</v>
      </c>
      <c r="C135" s="73"/>
      <c r="D135" s="109"/>
      <c r="E135" s="12" t="s">
        <v>60</v>
      </c>
      <c r="F135" s="71"/>
      <c r="G135" s="71"/>
      <c r="H135" s="71"/>
      <c r="I135" s="72">
        <f t="shared" si="5"/>
      </c>
      <c r="J135" s="72">
        <f t="shared" si="6"/>
      </c>
      <c r="K135" s="72">
        <f t="shared" si="7"/>
      </c>
    </row>
    <row r="136" spans="2:11" ht="15.75" thickBot="1">
      <c r="B136" s="116"/>
      <c r="C136" s="90"/>
      <c r="D136" s="117"/>
      <c r="E136" s="12"/>
      <c r="F136" s="71"/>
      <c r="G136" s="71"/>
      <c r="H136" s="71"/>
      <c r="I136" s="72">
        <f t="shared" si="5"/>
      </c>
      <c r="J136" s="72">
        <f t="shared" si="6"/>
      </c>
      <c r="K136" s="72">
        <f t="shared" si="7"/>
      </c>
    </row>
    <row r="137" spans="1:11" s="125" customFormat="1" ht="19.5" thickBot="1">
      <c r="A137" s="118"/>
      <c r="B137" s="119"/>
      <c r="C137" s="120"/>
      <c r="D137" s="121"/>
      <c r="E137" s="122" t="s">
        <v>920</v>
      </c>
      <c r="F137" s="123">
        <f>SUM(F11:F135)</f>
        <v>2385094878.2700005</v>
      </c>
      <c r="G137" s="123">
        <f>SUM(G11:G135)</f>
        <v>2413322209.826374</v>
      </c>
      <c r="H137" s="123">
        <f>SUM(H11:H135)</f>
        <v>2569889518.455254</v>
      </c>
      <c r="I137" s="124">
        <f t="shared" si="5"/>
        <v>0.011834888336537768</v>
      </c>
      <c r="J137" s="124">
        <f t="shared" si="6"/>
        <v>0.0774789472187757</v>
      </c>
      <c r="K137" s="124">
        <f t="shared" si="7"/>
        <v>0.06487625564103362</v>
      </c>
    </row>
    <row r="138" spans="2:11" ht="15.75">
      <c r="B138" s="126"/>
      <c r="C138" s="73"/>
      <c r="D138" s="126"/>
      <c r="E138" s="51"/>
      <c r="F138" s="127"/>
      <c r="G138" s="127"/>
      <c r="H138" s="127"/>
      <c r="I138" s="50"/>
      <c r="J138" s="50"/>
      <c r="K138" s="50"/>
    </row>
    <row r="139" spans="2:11" ht="15.75">
      <c r="B139" s="52" t="s">
        <v>918</v>
      </c>
      <c r="C139" s="60"/>
      <c r="D139" s="128"/>
      <c r="E139" s="128"/>
      <c r="F139" s="127"/>
      <c r="G139" s="127"/>
      <c r="H139" s="127"/>
      <c r="I139" s="50"/>
      <c r="J139" s="50"/>
      <c r="K139" s="50"/>
    </row>
    <row r="140" spans="2:11" ht="15.75" customHeight="1">
      <c r="B140" s="52" t="s">
        <v>1223</v>
      </c>
      <c r="C140" s="60"/>
      <c r="D140" s="128"/>
      <c r="E140" s="128"/>
      <c r="F140" s="127"/>
      <c r="G140" s="127"/>
      <c r="H140" s="127"/>
      <c r="I140" s="50"/>
      <c r="J140" s="50"/>
      <c r="K140" s="50"/>
    </row>
    <row r="141" spans="1:11" s="44" customFormat="1" ht="15.75" customHeight="1">
      <c r="A141" s="35"/>
      <c r="B141" s="52" t="s">
        <v>952</v>
      </c>
      <c r="C141" s="60"/>
      <c r="D141" s="47"/>
      <c r="E141" s="47"/>
      <c r="F141" s="127"/>
      <c r="G141" s="127"/>
      <c r="H141" s="127"/>
      <c r="I141" s="50"/>
      <c r="J141" s="50"/>
      <c r="K141" s="50"/>
    </row>
    <row r="142" spans="1:11" s="44" customFormat="1" ht="15.75" customHeight="1">
      <c r="A142" s="35"/>
      <c r="C142" s="60"/>
      <c r="D142" s="47"/>
      <c r="E142" s="47"/>
      <c r="F142" s="127"/>
      <c r="G142" s="127"/>
      <c r="H142" s="127"/>
      <c r="I142" s="50"/>
      <c r="J142" s="50"/>
      <c r="K142" s="50"/>
    </row>
    <row r="143" spans="1:11" s="44" customFormat="1" ht="15.75" customHeight="1" thickBot="1">
      <c r="A143" s="35"/>
      <c r="B143" s="51"/>
      <c r="C143" s="129"/>
      <c r="D143" s="51"/>
      <c r="E143" s="52"/>
      <c r="F143" s="127"/>
      <c r="G143" s="127"/>
      <c r="H143" s="53" t="s">
        <v>1280</v>
      </c>
      <c r="I143" s="50"/>
      <c r="J143" s="50"/>
      <c r="K143" s="50"/>
    </row>
    <row r="144" spans="1:11" s="44" customFormat="1" ht="15.75" customHeight="1">
      <c r="A144" s="35"/>
      <c r="B144" s="55"/>
      <c r="C144" s="130"/>
      <c r="D144" s="57"/>
      <c r="E144" s="1"/>
      <c r="F144" s="1" t="s">
        <v>1281</v>
      </c>
      <c r="G144" s="1" t="s">
        <v>1241</v>
      </c>
      <c r="H144" s="1" t="s">
        <v>1429</v>
      </c>
      <c r="I144" s="58" t="s">
        <v>1312</v>
      </c>
      <c r="J144" s="58" t="s">
        <v>1312</v>
      </c>
      <c r="K144" s="58" t="s">
        <v>1312</v>
      </c>
    </row>
    <row r="145" spans="2:11" ht="15.75" customHeight="1">
      <c r="B145" s="59" t="s">
        <v>1450</v>
      </c>
      <c r="C145" s="60"/>
      <c r="D145" s="61"/>
      <c r="E145" s="2" t="s">
        <v>1080</v>
      </c>
      <c r="F145" s="2">
        <v>2005</v>
      </c>
      <c r="G145" s="2">
        <v>2005</v>
      </c>
      <c r="H145" s="2">
        <v>2006</v>
      </c>
      <c r="I145" s="34"/>
      <c r="J145" s="34"/>
      <c r="K145" s="34"/>
    </row>
    <row r="146" spans="2:11" ht="15.75" customHeight="1" thickBot="1">
      <c r="B146" s="62"/>
      <c r="C146" s="73"/>
      <c r="D146" s="64"/>
      <c r="E146" s="6"/>
      <c r="F146" s="65" t="s">
        <v>1131</v>
      </c>
      <c r="G146" s="65" t="s">
        <v>1129</v>
      </c>
      <c r="H146" s="65" t="s">
        <v>1130</v>
      </c>
      <c r="I146" s="66" t="s">
        <v>1430</v>
      </c>
      <c r="J146" s="66" t="s">
        <v>1431</v>
      </c>
      <c r="K146" s="66" t="s">
        <v>1432</v>
      </c>
    </row>
    <row r="147" spans="2:11" ht="15.75" customHeight="1">
      <c r="B147" s="131"/>
      <c r="C147" s="132"/>
      <c r="D147" s="133"/>
      <c r="E147" s="2"/>
      <c r="F147" s="71"/>
      <c r="G147" s="71"/>
      <c r="H147" s="71"/>
      <c r="I147" s="72"/>
      <c r="J147" s="72"/>
      <c r="K147" s="72"/>
    </row>
    <row r="148" spans="2:11" ht="15.75" customHeight="1">
      <c r="B148" s="30"/>
      <c r="C148" s="73"/>
      <c r="D148" s="74"/>
      <c r="E148" s="7" t="s">
        <v>1291</v>
      </c>
      <c r="F148" s="71"/>
      <c r="G148" s="71"/>
      <c r="H148" s="71"/>
      <c r="I148" s="72">
        <f aca="true" t="shared" si="8" ref="I148:I211">IF(F148=0,"",(G148-F148)/F148)</f>
      </c>
      <c r="J148" s="72">
        <f aca="true" t="shared" si="9" ref="J148:J211">IF(F148=0,"",(H148-F148)/F148)</f>
      </c>
      <c r="K148" s="72">
        <f aca="true" t="shared" si="10" ref="K148:K211">IF(G148=0,"",(H148-G148)/G148)</f>
      </c>
    </row>
    <row r="149" spans="2:11" ht="15.75">
      <c r="B149" s="30"/>
      <c r="C149" s="73"/>
      <c r="D149" s="74"/>
      <c r="E149" s="7"/>
      <c r="F149" s="71"/>
      <c r="G149" s="71"/>
      <c r="H149" s="71"/>
      <c r="I149" s="72">
        <f t="shared" si="8"/>
      </c>
      <c r="J149" s="72">
        <f t="shared" si="9"/>
      </c>
      <c r="K149" s="72">
        <f t="shared" si="10"/>
      </c>
    </row>
    <row r="150" spans="2:11" ht="15.75">
      <c r="B150" s="77" t="s">
        <v>1433</v>
      </c>
      <c r="C150" s="78" t="s">
        <v>470</v>
      </c>
      <c r="D150" s="88" t="s">
        <v>931</v>
      </c>
      <c r="E150" s="7" t="s">
        <v>1225</v>
      </c>
      <c r="F150" s="71"/>
      <c r="G150" s="71"/>
      <c r="H150" s="71"/>
      <c r="I150" s="72">
        <f t="shared" si="8"/>
      </c>
      <c r="J150" s="72">
        <f t="shared" si="9"/>
      </c>
      <c r="K150" s="72">
        <f t="shared" si="10"/>
      </c>
    </row>
    <row r="151" spans="2:11" ht="15.75">
      <c r="B151" s="86"/>
      <c r="C151" s="73"/>
      <c r="D151" s="87"/>
      <c r="E151" s="7"/>
      <c r="F151" s="71"/>
      <c r="G151" s="71"/>
      <c r="H151" s="71"/>
      <c r="I151" s="72">
        <f t="shared" si="8"/>
      </c>
      <c r="J151" s="72">
        <f t="shared" si="9"/>
      </c>
      <c r="K151" s="72">
        <f t="shared" si="10"/>
      </c>
    </row>
    <row r="152" spans="2:11" ht="15.75">
      <c r="B152" s="86"/>
      <c r="C152" s="73"/>
      <c r="D152" s="87"/>
      <c r="E152" s="10" t="s">
        <v>1416</v>
      </c>
      <c r="F152" s="71"/>
      <c r="G152" s="71"/>
      <c r="H152" s="71"/>
      <c r="I152" s="72">
        <f t="shared" si="8"/>
      </c>
      <c r="J152" s="72">
        <f t="shared" si="9"/>
      </c>
      <c r="K152" s="72">
        <f t="shared" si="10"/>
      </c>
    </row>
    <row r="153" spans="1:11" ht="15">
      <c r="A153" s="35" t="str">
        <f>$C$150</f>
        <v>D112001</v>
      </c>
      <c r="B153" s="75" t="s">
        <v>932</v>
      </c>
      <c r="C153" s="73"/>
      <c r="D153" s="76"/>
      <c r="E153" s="85" t="s">
        <v>654</v>
      </c>
      <c r="F153" s="71"/>
      <c r="G153" s="71"/>
      <c r="H153" s="71"/>
      <c r="I153" s="72">
        <f t="shared" si="8"/>
      </c>
      <c r="J153" s="72">
        <f t="shared" si="9"/>
      </c>
      <c r="K153" s="72">
        <f t="shared" si="10"/>
      </c>
    </row>
    <row r="154" spans="1:11" ht="15">
      <c r="A154" s="35" t="str">
        <f>$C$150</f>
        <v>D112001</v>
      </c>
      <c r="B154" s="75" t="s">
        <v>655</v>
      </c>
      <c r="C154" s="73"/>
      <c r="D154" s="76"/>
      <c r="E154" s="85" t="s">
        <v>1418</v>
      </c>
      <c r="F154" s="71"/>
      <c r="G154" s="71"/>
      <c r="H154" s="71"/>
      <c r="I154" s="72">
        <f t="shared" si="8"/>
      </c>
      <c r="J154" s="72">
        <f t="shared" si="9"/>
      </c>
      <c r="K154" s="72">
        <f t="shared" si="10"/>
      </c>
    </row>
    <row r="155" spans="2:11" ht="15.75" customHeight="1">
      <c r="B155" s="75"/>
      <c r="C155" s="73"/>
      <c r="D155" s="76"/>
      <c r="E155" s="12" t="s">
        <v>768</v>
      </c>
      <c r="F155" s="71"/>
      <c r="G155" s="71"/>
      <c r="H155" s="71"/>
      <c r="I155" s="72">
        <f t="shared" si="8"/>
      </c>
      <c r="J155" s="72">
        <f t="shared" si="9"/>
      </c>
      <c r="K155" s="72">
        <f t="shared" si="10"/>
      </c>
    </row>
    <row r="156" spans="1:11" ht="15.75" customHeight="1">
      <c r="A156" s="35" t="str">
        <f>$C$150</f>
        <v>D112001</v>
      </c>
      <c r="B156" s="75" t="s">
        <v>1168</v>
      </c>
      <c r="C156" s="73"/>
      <c r="D156" s="76"/>
      <c r="E156" s="85" t="s">
        <v>29</v>
      </c>
      <c r="F156" s="71">
        <v>1384612.96</v>
      </c>
      <c r="G156" s="71">
        <v>1261909.5736819517</v>
      </c>
      <c r="H156" s="187">
        <v>1156792.5061942453</v>
      </c>
      <c r="I156" s="72">
        <f t="shared" si="8"/>
        <v>-0.08861926752299663</v>
      </c>
      <c r="J156" s="72">
        <f t="shared" si="9"/>
        <v>-0.16453728253833091</v>
      </c>
      <c r="K156" s="72">
        <f t="shared" si="10"/>
        <v>-0.08329999999999989</v>
      </c>
    </row>
    <row r="157" spans="1:11" ht="15.75" customHeight="1">
      <c r="A157" s="35" t="str">
        <f>$C$150</f>
        <v>D112001</v>
      </c>
      <c r="B157" s="75" t="s">
        <v>1169</v>
      </c>
      <c r="C157" s="73"/>
      <c r="D157" s="76"/>
      <c r="E157" s="85" t="s">
        <v>26</v>
      </c>
      <c r="F157" s="71">
        <v>14915724.28</v>
      </c>
      <c r="G157" s="71">
        <v>14152255.460327357</v>
      </c>
      <c r="H157" s="187">
        <v>14139517.632746221</v>
      </c>
      <c r="I157" s="72">
        <f t="shared" si="8"/>
        <v>-0.051185500974723186</v>
      </c>
      <c r="J157" s="72">
        <f t="shared" si="9"/>
        <v>-0.05203948750209654</v>
      </c>
      <c r="K157" s="72">
        <f t="shared" si="10"/>
        <v>-0.0009000563632308059</v>
      </c>
    </row>
    <row r="158" spans="2:11" ht="15.75" customHeight="1">
      <c r="B158" s="86"/>
      <c r="C158" s="73"/>
      <c r="D158" s="87"/>
      <c r="E158" s="12" t="s">
        <v>1423</v>
      </c>
      <c r="F158" s="71"/>
      <c r="G158" s="71"/>
      <c r="H158" s="71"/>
      <c r="I158" s="72">
        <f t="shared" si="8"/>
      </c>
      <c r="J158" s="72">
        <f t="shared" si="9"/>
      </c>
      <c r="K158" s="72">
        <f t="shared" si="10"/>
      </c>
    </row>
    <row r="159" spans="1:11" ht="15.75" customHeight="1">
      <c r="A159" s="35" t="str">
        <f>$C$150</f>
        <v>D112001</v>
      </c>
      <c r="B159" s="75" t="s">
        <v>1424</v>
      </c>
      <c r="C159" s="73"/>
      <c r="D159" s="76"/>
      <c r="E159" s="85" t="s">
        <v>29</v>
      </c>
      <c r="F159" s="71">
        <v>7755429.48</v>
      </c>
      <c r="G159" s="71"/>
      <c r="H159" s="71"/>
      <c r="I159" s="72">
        <f t="shared" si="8"/>
        <v>-1</v>
      </c>
      <c r="J159" s="72">
        <f t="shared" si="9"/>
        <v>-1</v>
      </c>
      <c r="K159" s="72">
        <f t="shared" si="10"/>
      </c>
    </row>
    <row r="160" spans="1:11" ht="15.75" customHeight="1">
      <c r="A160" s="35" t="str">
        <f>$C$150</f>
        <v>D112001</v>
      </c>
      <c r="B160" s="75" t="s">
        <v>798</v>
      </c>
      <c r="C160" s="73"/>
      <c r="D160" s="76"/>
      <c r="E160" s="85" t="s">
        <v>26</v>
      </c>
      <c r="F160" s="71">
        <v>22858618</v>
      </c>
      <c r="G160" s="71"/>
      <c r="H160" s="71"/>
      <c r="I160" s="72">
        <f t="shared" si="8"/>
        <v>-1</v>
      </c>
      <c r="J160" s="72">
        <f t="shared" si="9"/>
        <v>-1</v>
      </c>
      <c r="K160" s="72">
        <f t="shared" si="10"/>
      </c>
    </row>
    <row r="161" spans="1:11" ht="15.75" customHeight="1">
      <c r="A161" s="35" t="str">
        <f>$C$150</f>
        <v>D112001</v>
      </c>
      <c r="B161" s="75" t="s">
        <v>799</v>
      </c>
      <c r="C161" s="73"/>
      <c r="D161" s="76"/>
      <c r="E161" s="85" t="s">
        <v>28</v>
      </c>
      <c r="F161" s="71">
        <v>100695.1</v>
      </c>
      <c r="G161" s="71"/>
      <c r="H161" s="71"/>
      <c r="I161" s="72">
        <f t="shared" si="8"/>
        <v>-1</v>
      </c>
      <c r="J161" s="72">
        <f t="shared" si="9"/>
        <v>-1</v>
      </c>
      <c r="K161" s="72">
        <f t="shared" si="10"/>
      </c>
    </row>
    <row r="162" spans="2:11" ht="15.75" customHeight="1">
      <c r="B162" s="81"/>
      <c r="C162" s="73"/>
      <c r="D162" s="82"/>
      <c r="E162" s="107" t="s">
        <v>806</v>
      </c>
      <c r="F162" s="71"/>
      <c r="G162" s="71"/>
      <c r="H162" s="71"/>
      <c r="I162" s="72">
        <f t="shared" si="8"/>
      </c>
      <c r="J162" s="72">
        <f t="shared" si="9"/>
      </c>
      <c r="K162" s="72">
        <f t="shared" si="10"/>
      </c>
    </row>
    <row r="163" spans="1:11" ht="15.75" customHeight="1">
      <c r="A163" s="35" t="str">
        <f>$C$150</f>
        <v>D112001</v>
      </c>
      <c r="B163" s="75" t="s">
        <v>800</v>
      </c>
      <c r="C163" s="73"/>
      <c r="D163" s="76"/>
      <c r="E163" s="85" t="s">
        <v>578</v>
      </c>
      <c r="F163" s="71"/>
      <c r="G163" s="71"/>
      <c r="H163" s="71"/>
      <c r="I163" s="72">
        <f t="shared" si="8"/>
      </c>
      <c r="J163" s="72">
        <f t="shared" si="9"/>
      </c>
      <c r="K163" s="72">
        <f t="shared" si="10"/>
      </c>
    </row>
    <row r="164" spans="1:11" ht="15.75" customHeight="1">
      <c r="A164" s="35" t="str">
        <f>$C$150</f>
        <v>D112001</v>
      </c>
      <c r="B164" s="75" t="s">
        <v>801</v>
      </c>
      <c r="C164" s="73"/>
      <c r="D164" s="76"/>
      <c r="E164" s="85" t="s">
        <v>1102</v>
      </c>
      <c r="F164" s="71"/>
      <c r="G164" s="71"/>
      <c r="H164" s="71"/>
      <c r="I164" s="72">
        <f t="shared" si="8"/>
      </c>
      <c r="J164" s="72">
        <f t="shared" si="9"/>
      </c>
      <c r="K164" s="72">
        <f t="shared" si="10"/>
      </c>
    </row>
    <row r="165" spans="1:11" ht="15.75" customHeight="1">
      <c r="A165" s="35" t="str">
        <f>$C$150</f>
        <v>D112001</v>
      </c>
      <c r="B165" s="75" t="s">
        <v>323</v>
      </c>
      <c r="C165" s="73"/>
      <c r="D165" s="76"/>
      <c r="E165" s="85" t="s">
        <v>1103</v>
      </c>
      <c r="F165" s="71"/>
      <c r="G165" s="71"/>
      <c r="H165" s="71"/>
      <c r="I165" s="72">
        <f t="shared" si="8"/>
      </c>
      <c r="J165" s="72">
        <f t="shared" si="9"/>
      </c>
      <c r="K165" s="72">
        <f t="shared" si="10"/>
      </c>
    </row>
    <row r="166" spans="1:11" ht="15.75" customHeight="1">
      <c r="A166" s="35" t="str">
        <f>$C$150</f>
        <v>D112001</v>
      </c>
      <c r="B166" s="75" t="s">
        <v>324</v>
      </c>
      <c r="C166" s="73"/>
      <c r="D166" s="76"/>
      <c r="E166" s="85" t="s">
        <v>1294</v>
      </c>
      <c r="F166" s="71"/>
      <c r="G166" s="71"/>
      <c r="H166" s="71"/>
      <c r="I166" s="72">
        <f t="shared" si="8"/>
      </c>
      <c r="J166" s="72">
        <f t="shared" si="9"/>
      </c>
      <c r="K166" s="72">
        <f t="shared" si="10"/>
      </c>
    </row>
    <row r="167" spans="1:11" ht="15.75" customHeight="1">
      <c r="A167" s="35" t="str">
        <f>$C$150</f>
        <v>D112001</v>
      </c>
      <c r="B167" s="75" t="s">
        <v>1536</v>
      </c>
      <c r="C167" s="73"/>
      <c r="D167" s="76"/>
      <c r="E167" s="85" t="s">
        <v>1148</v>
      </c>
      <c r="F167" s="71"/>
      <c r="G167" s="71"/>
      <c r="H167" s="71"/>
      <c r="I167" s="72">
        <f t="shared" si="8"/>
      </c>
      <c r="J167" s="72">
        <f t="shared" si="9"/>
      </c>
      <c r="K167" s="72">
        <f t="shared" si="10"/>
      </c>
    </row>
    <row r="168" spans="2:11" ht="15.75" customHeight="1">
      <c r="B168" s="86"/>
      <c r="C168" s="73"/>
      <c r="D168" s="87"/>
      <c r="E168" s="13"/>
      <c r="F168" s="71"/>
      <c r="G168" s="71"/>
      <c r="H168" s="71"/>
      <c r="I168" s="72">
        <f t="shared" si="8"/>
      </c>
      <c r="J168" s="72">
        <f t="shared" si="9"/>
      </c>
      <c r="K168" s="72">
        <f t="shared" si="10"/>
      </c>
    </row>
    <row r="169" spans="2:11" ht="15.75" customHeight="1">
      <c r="B169" s="86"/>
      <c r="C169" s="73"/>
      <c r="D169" s="87"/>
      <c r="E169" s="107" t="s">
        <v>156</v>
      </c>
      <c r="F169" s="71"/>
      <c r="G169" s="71"/>
      <c r="H169" s="71"/>
      <c r="I169" s="72">
        <f t="shared" si="8"/>
      </c>
      <c r="J169" s="72">
        <f t="shared" si="9"/>
      </c>
      <c r="K169" s="72">
        <f t="shared" si="10"/>
      </c>
    </row>
    <row r="170" spans="2:11" ht="15.75" customHeight="1">
      <c r="B170" s="86"/>
      <c r="C170" s="73"/>
      <c r="D170" s="87"/>
      <c r="E170" s="85" t="s">
        <v>157</v>
      </c>
      <c r="F170" s="71"/>
      <c r="G170" s="71"/>
      <c r="H170" s="71"/>
      <c r="I170" s="72">
        <f t="shared" si="8"/>
      </c>
      <c r="J170" s="72">
        <f t="shared" si="9"/>
      </c>
      <c r="K170" s="72">
        <f t="shared" si="10"/>
      </c>
    </row>
    <row r="171" spans="1:11" ht="15.75" customHeight="1">
      <c r="A171" s="35" t="str">
        <f>$C$150</f>
        <v>D112001</v>
      </c>
      <c r="B171" s="75" t="s">
        <v>1537</v>
      </c>
      <c r="C171" s="73"/>
      <c r="D171" s="76"/>
      <c r="E171" s="112" t="s">
        <v>29</v>
      </c>
      <c r="F171" s="71">
        <v>17354260.92</v>
      </c>
      <c r="G171" s="71">
        <v>17638554.77156008</v>
      </c>
      <c r="H171" s="187">
        <v>18201730.546051405</v>
      </c>
      <c r="I171" s="72">
        <f t="shared" si="8"/>
        <v>0.016381789629107323</v>
      </c>
      <c r="J171" s="72">
        <f t="shared" si="9"/>
        <v>0.04883351875127872</v>
      </c>
      <c r="K171" s="72">
        <f t="shared" si="10"/>
        <v>0.031928680199999955</v>
      </c>
    </row>
    <row r="172" spans="1:11" ht="15.75" customHeight="1">
      <c r="A172" s="35" t="str">
        <f>$C$150</f>
        <v>D112001</v>
      </c>
      <c r="B172" s="75" t="s">
        <v>1538</v>
      </c>
      <c r="C172" s="73"/>
      <c r="D172" s="76"/>
      <c r="E172" s="112" t="s">
        <v>26</v>
      </c>
      <c r="F172" s="71">
        <v>125378635.42</v>
      </c>
      <c r="G172" s="71">
        <v>128429395.59326023</v>
      </c>
      <c r="H172" s="187">
        <v>143055437.45078686</v>
      </c>
      <c r="I172" s="72">
        <f t="shared" si="8"/>
        <v>0.02433237658904668</v>
      </c>
      <c r="J172" s="72">
        <f t="shared" si="9"/>
        <v>0.14098735379893207</v>
      </c>
      <c r="K172" s="72">
        <f t="shared" si="10"/>
        <v>0.11388391099999992</v>
      </c>
    </row>
    <row r="173" spans="1:11" ht="15.75" customHeight="1">
      <c r="A173" s="35" t="str">
        <f>$C$150</f>
        <v>D112001</v>
      </c>
      <c r="B173" s="75" t="s">
        <v>1539</v>
      </c>
      <c r="C173" s="73"/>
      <c r="D173" s="76"/>
      <c r="E173" s="112" t="s">
        <v>28</v>
      </c>
      <c r="F173" s="71">
        <v>17067545.13</v>
      </c>
      <c r="G173" s="71">
        <v>17072252.05607124</v>
      </c>
      <c r="H173" s="187">
        <v>18925952.095081117</v>
      </c>
      <c r="I173" s="72">
        <f t="shared" si="8"/>
        <v>0.00027578225429549506</v>
      </c>
      <c r="J173" s="72">
        <f t="shared" si="9"/>
        <v>0.10888542850925616</v>
      </c>
      <c r="K173" s="72">
        <f t="shared" si="10"/>
        <v>0.10857970189999995</v>
      </c>
    </row>
    <row r="174" spans="2:11" ht="15.75" customHeight="1">
      <c r="B174" s="86"/>
      <c r="C174" s="73"/>
      <c r="D174" s="87"/>
      <c r="E174" s="13"/>
      <c r="F174" s="71"/>
      <c r="G174" s="71"/>
      <c r="H174" s="71"/>
      <c r="I174" s="72">
        <f t="shared" si="8"/>
      </c>
      <c r="J174" s="72">
        <f t="shared" si="9"/>
      </c>
      <c r="K174" s="72">
        <f t="shared" si="10"/>
      </c>
    </row>
    <row r="175" spans="2:11" ht="15.75" customHeight="1">
      <c r="B175" s="77" t="s">
        <v>1433</v>
      </c>
      <c r="C175" s="78" t="s">
        <v>1540</v>
      </c>
      <c r="D175" s="78" t="s">
        <v>1472</v>
      </c>
      <c r="E175" s="7" t="s">
        <v>1473</v>
      </c>
      <c r="F175" s="71"/>
      <c r="G175" s="71"/>
      <c r="H175" s="71"/>
      <c r="I175" s="72">
        <f t="shared" si="8"/>
      </c>
      <c r="J175" s="72">
        <f t="shared" si="9"/>
      </c>
      <c r="K175" s="72">
        <f t="shared" si="10"/>
      </c>
    </row>
    <row r="176" spans="2:11" ht="15.75" customHeight="1">
      <c r="B176" s="75"/>
      <c r="C176" s="73"/>
      <c r="D176" s="76"/>
      <c r="E176" s="7"/>
      <c r="F176" s="71"/>
      <c r="G176" s="71"/>
      <c r="H176" s="71"/>
      <c r="I176" s="72">
        <f t="shared" si="8"/>
      </c>
      <c r="J176" s="72">
        <f t="shared" si="9"/>
      </c>
      <c r="K176" s="72">
        <f t="shared" si="10"/>
      </c>
    </row>
    <row r="177" spans="1:11" ht="15.75" customHeight="1">
      <c r="A177" s="35" t="str">
        <f>$C$175</f>
        <v>D112002</v>
      </c>
      <c r="B177" s="75" t="s">
        <v>1474</v>
      </c>
      <c r="C177" s="73"/>
      <c r="D177" s="76"/>
      <c r="E177" s="85" t="s">
        <v>1067</v>
      </c>
      <c r="F177" s="71"/>
      <c r="G177" s="71"/>
      <c r="H177" s="71"/>
      <c r="I177" s="72">
        <f t="shared" si="8"/>
      </c>
      <c r="J177" s="72">
        <f t="shared" si="9"/>
      </c>
      <c r="K177" s="72">
        <f t="shared" si="10"/>
      </c>
    </row>
    <row r="178" spans="1:11" ht="15.75" customHeight="1">
      <c r="A178" s="35" t="str">
        <f aca="true" t="shared" si="11" ref="A178:A183">$C$175</f>
        <v>D112002</v>
      </c>
      <c r="B178" s="75" t="s">
        <v>529</v>
      </c>
      <c r="C178" s="73"/>
      <c r="D178" s="76"/>
      <c r="E178" s="85" t="s">
        <v>1402</v>
      </c>
      <c r="F178" s="71"/>
      <c r="G178" s="71"/>
      <c r="H178" s="71"/>
      <c r="I178" s="72">
        <f t="shared" si="8"/>
      </c>
      <c r="J178" s="72">
        <f t="shared" si="9"/>
      </c>
      <c r="K178" s="72">
        <f t="shared" si="10"/>
      </c>
    </row>
    <row r="179" spans="1:11" ht="15.75" customHeight="1">
      <c r="A179" s="35" t="str">
        <f t="shared" si="11"/>
        <v>D112002</v>
      </c>
      <c r="B179" s="75" t="s">
        <v>530</v>
      </c>
      <c r="C179" s="73"/>
      <c r="D179" s="76"/>
      <c r="E179" s="85" t="s">
        <v>1404</v>
      </c>
      <c r="F179" s="71"/>
      <c r="G179" s="71"/>
      <c r="H179" s="71"/>
      <c r="I179" s="72">
        <f t="shared" si="8"/>
      </c>
      <c r="J179" s="72">
        <f t="shared" si="9"/>
      </c>
      <c r="K179" s="72">
        <f t="shared" si="10"/>
      </c>
    </row>
    <row r="180" spans="1:11" ht="15.75" customHeight="1">
      <c r="A180" s="35" t="str">
        <f t="shared" si="11"/>
        <v>D112002</v>
      </c>
      <c r="B180" s="75" t="s">
        <v>531</v>
      </c>
      <c r="C180" s="73"/>
      <c r="D180" s="76"/>
      <c r="E180" s="85" t="s">
        <v>194</v>
      </c>
      <c r="F180" s="71"/>
      <c r="G180" s="71"/>
      <c r="H180" s="71"/>
      <c r="I180" s="72">
        <f t="shared" si="8"/>
      </c>
      <c r="J180" s="72">
        <f t="shared" si="9"/>
      </c>
      <c r="K180" s="72">
        <f t="shared" si="10"/>
      </c>
    </row>
    <row r="181" spans="1:11" ht="15.75" customHeight="1">
      <c r="A181" s="35" t="str">
        <f t="shared" si="11"/>
        <v>D112002</v>
      </c>
      <c r="B181" s="75" t="s">
        <v>532</v>
      </c>
      <c r="C181" s="73"/>
      <c r="D181" s="76"/>
      <c r="E181" s="85" t="s">
        <v>1203</v>
      </c>
      <c r="F181" s="71"/>
      <c r="G181" s="71"/>
      <c r="H181" s="71"/>
      <c r="I181" s="72">
        <f t="shared" si="8"/>
      </c>
      <c r="J181" s="72">
        <f t="shared" si="9"/>
      </c>
      <c r="K181" s="72">
        <f t="shared" si="10"/>
      </c>
    </row>
    <row r="182" spans="1:11" ht="15.75" customHeight="1">
      <c r="A182" s="35" t="str">
        <f t="shared" si="11"/>
        <v>D112002</v>
      </c>
      <c r="B182" s="75" t="s">
        <v>533</v>
      </c>
      <c r="C182" s="73"/>
      <c r="D182" s="76"/>
      <c r="E182" s="85" t="s">
        <v>1</v>
      </c>
      <c r="F182" s="71"/>
      <c r="G182" s="71"/>
      <c r="H182" s="71"/>
      <c r="I182" s="72">
        <f t="shared" si="8"/>
      </c>
      <c r="J182" s="72">
        <f t="shared" si="9"/>
      </c>
      <c r="K182" s="72">
        <f t="shared" si="10"/>
      </c>
    </row>
    <row r="183" spans="1:11" ht="15.75" customHeight="1">
      <c r="A183" s="35" t="str">
        <f t="shared" si="11"/>
        <v>D112002</v>
      </c>
      <c r="B183" s="75" t="s">
        <v>711</v>
      </c>
      <c r="C183" s="73"/>
      <c r="D183" s="76"/>
      <c r="E183" s="85" t="s">
        <v>551</v>
      </c>
      <c r="F183" s="71"/>
      <c r="G183" s="71"/>
      <c r="H183" s="71"/>
      <c r="I183" s="72">
        <f t="shared" si="8"/>
      </c>
      <c r="J183" s="72">
        <f t="shared" si="9"/>
      </c>
      <c r="K183" s="72">
        <f t="shared" si="10"/>
      </c>
    </row>
    <row r="184" spans="2:11" ht="15.75" customHeight="1">
      <c r="B184" s="86"/>
      <c r="C184" s="73"/>
      <c r="D184" s="87"/>
      <c r="E184" s="85"/>
      <c r="F184" s="71"/>
      <c r="G184" s="71"/>
      <c r="H184" s="71"/>
      <c r="I184" s="72">
        <f t="shared" si="8"/>
      </c>
      <c r="J184" s="72">
        <f t="shared" si="9"/>
      </c>
      <c r="K184" s="72">
        <f t="shared" si="10"/>
      </c>
    </row>
    <row r="185" spans="2:11" ht="15.75" customHeight="1">
      <c r="B185" s="77" t="s">
        <v>1433</v>
      </c>
      <c r="C185" s="78" t="s">
        <v>712</v>
      </c>
      <c r="D185" s="88" t="s">
        <v>786</v>
      </c>
      <c r="E185" s="10" t="s">
        <v>190</v>
      </c>
      <c r="F185" s="71"/>
      <c r="G185" s="71"/>
      <c r="H185" s="71"/>
      <c r="I185" s="72">
        <f t="shared" si="8"/>
      </c>
      <c r="J185" s="72">
        <f t="shared" si="9"/>
      </c>
      <c r="K185" s="72">
        <f t="shared" si="10"/>
      </c>
    </row>
    <row r="186" spans="2:11" ht="15.75" customHeight="1">
      <c r="B186" s="75"/>
      <c r="C186" s="73"/>
      <c r="D186" s="76"/>
      <c r="E186" s="12"/>
      <c r="F186" s="71"/>
      <c r="G186" s="71"/>
      <c r="H186" s="71"/>
      <c r="I186" s="72">
        <f t="shared" si="8"/>
      </c>
      <c r="J186" s="72">
        <f t="shared" si="9"/>
      </c>
      <c r="K186" s="72">
        <f t="shared" si="10"/>
      </c>
    </row>
    <row r="187" spans="2:11" ht="15.75" customHeight="1">
      <c r="B187" s="77"/>
      <c r="C187" s="73"/>
      <c r="D187" s="88"/>
      <c r="E187" s="10"/>
      <c r="F187" s="71"/>
      <c r="G187" s="71"/>
      <c r="H187" s="71"/>
      <c r="I187" s="72">
        <f t="shared" si="8"/>
      </c>
      <c r="J187" s="72">
        <f t="shared" si="9"/>
      </c>
      <c r="K187" s="72">
        <f t="shared" si="10"/>
      </c>
    </row>
    <row r="188" spans="2:11" ht="15.75" customHeight="1">
      <c r="B188" s="77"/>
      <c r="C188" s="73"/>
      <c r="D188" s="88"/>
      <c r="E188" s="10" t="s">
        <v>1339</v>
      </c>
      <c r="F188" s="71"/>
      <c r="G188" s="71"/>
      <c r="H188" s="71"/>
      <c r="I188" s="72">
        <f t="shared" si="8"/>
      </c>
      <c r="J188" s="72">
        <f t="shared" si="9"/>
      </c>
      <c r="K188" s="72">
        <f t="shared" si="10"/>
      </c>
    </row>
    <row r="189" spans="2:11" ht="15.75" customHeight="1">
      <c r="B189" s="81"/>
      <c r="C189" s="73"/>
      <c r="D189" s="82"/>
      <c r="E189" s="10"/>
      <c r="F189" s="71"/>
      <c r="G189" s="71"/>
      <c r="H189" s="71"/>
      <c r="I189" s="72">
        <f t="shared" si="8"/>
      </c>
      <c r="J189" s="72">
        <f t="shared" si="9"/>
      </c>
      <c r="K189" s="72">
        <f t="shared" si="10"/>
      </c>
    </row>
    <row r="190" spans="2:11" ht="15.75" customHeight="1">
      <c r="B190" s="77" t="s">
        <v>1433</v>
      </c>
      <c r="C190" s="78" t="s">
        <v>787</v>
      </c>
      <c r="D190" s="78" t="s">
        <v>788</v>
      </c>
      <c r="E190" s="107" t="s">
        <v>170</v>
      </c>
      <c r="F190" s="71"/>
      <c r="G190" s="71"/>
      <c r="H190" s="71"/>
      <c r="I190" s="72">
        <f t="shared" si="8"/>
      </c>
      <c r="J190" s="72">
        <f t="shared" si="9"/>
      </c>
      <c r="K190" s="72">
        <f t="shared" si="10"/>
      </c>
    </row>
    <row r="191" spans="1:11" ht="15.75" customHeight="1">
      <c r="A191" s="35" t="str">
        <f aca="true" t="shared" si="12" ref="A191:A196">$C$190</f>
        <v>D112004</v>
      </c>
      <c r="B191" s="75" t="s">
        <v>171</v>
      </c>
      <c r="C191" s="73"/>
      <c r="D191" s="76"/>
      <c r="E191" s="85" t="s">
        <v>1173</v>
      </c>
      <c r="F191" s="71"/>
      <c r="G191" s="71"/>
      <c r="H191" s="71"/>
      <c r="I191" s="72">
        <f t="shared" si="8"/>
      </c>
      <c r="J191" s="72">
        <f t="shared" si="9"/>
      </c>
      <c r="K191" s="72">
        <f t="shared" si="10"/>
      </c>
    </row>
    <row r="192" spans="1:11" ht="15.75" customHeight="1">
      <c r="A192" s="35" t="str">
        <f t="shared" si="12"/>
        <v>D112004</v>
      </c>
      <c r="B192" s="75" t="s">
        <v>1174</v>
      </c>
      <c r="C192" s="73"/>
      <c r="D192" s="76"/>
      <c r="E192" s="85" t="s">
        <v>610</v>
      </c>
      <c r="F192" s="71"/>
      <c r="G192" s="71"/>
      <c r="H192" s="71"/>
      <c r="I192" s="72">
        <f t="shared" si="8"/>
      </c>
      <c r="J192" s="72">
        <f t="shared" si="9"/>
      </c>
      <c r="K192" s="72">
        <f t="shared" si="10"/>
      </c>
    </row>
    <row r="193" spans="1:11" ht="15.75" customHeight="1">
      <c r="A193" s="35" t="str">
        <f t="shared" si="12"/>
        <v>D112004</v>
      </c>
      <c r="B193" s="75" t="s">
        <v>1175</v>
      </c>
      <c r="C193" s="73"/>
      <c r="D193" s="76"/>
      <c r="E193" s="85" t="s">
        <v>1276</v>
      </c>
      <c r="F193" s="71"/>
      <c r="G193" s="71"/>
      <c r="H193" s="71"/>
      <c r="I193" s="72">
        <f t="shared" si="8"/>
      </c>
      <c r="J193" s="72">
        <f t="shared" si="9"/>
      </c>
      <c r="K193" s="72">
        <f t="shared" si="10"/>
      </c>
    </row>
    <row r="194" spans="1:11" ht="15.75" customHeight="1">
      <c r="A194" s="35" t="str">
        <f t="shared" si="12"/>
        <v>D112004</v>
      </c>
      <c r="B194" s="75" t="s">
        <v>393</v>
      </c>
      <c r="C194" s="73"/>
      <c r="D194" s="76"/>
      <c r="E194" s="85" t="s">
        <v>511</v>
      </c>
      <c r="F194" s="71"/>
      <c r="G194" s="71"/>
      <c r="H194" s="71"/>
      <c r="I194" s="72">
        <f t="shared" si="8"/>
      </c>
      <c r="J194" s="72">
        <f t="shared" si="9"/>
      </c>
      <c r="K194" s="72">
        <f t="shared" si="10"/>
      </c>
    </row>
    <row r="195" spans="1:11" ht="15.75" customHeight="1">
      <c r="A195" s="35" t="str">
        <f t="shared" si="12"/>
        <v>D112004</v>
      </c>
      <c r="B195" s="75" t="s">
        <v>454</v>
      </c>
      <c r="C195" s="73"/>
      <c r="D195" s="76"/>
      <c r="E195" s="85" t="s">
        <v>120</v>
      </c>
      <c r="F195" s="71"/>
      <c r="G195" s="71"/>
      <c r="H195" s="71"/>
      <c r="I195" s="72">
        <f t="shared" si="8"/>
      </c>
      <c r="J195" s="72">
        <f t="shared" si="9"/>
      </c>
      <c r="K195" s="72">
        <f t="shared" si="10"/>
      </c>
    </row>
    <row r="196" spans="1:11" ht="15.75" customHeight="1">
      <c r="A196" s="35" t="str">
        <f t="shared" si="12"/>
        <v>D112004</v>
      </c>
      <c r="B196" s="75" t="s">
        <v>121</v>
      </c>
      <c r="C196" s="73"/>
      <c r="D196" s="76"/>
      <c r="E196" s="85" t="s">
        <v>692</v>
      </c>
      <c r="F196" s="71"/>
      <c r="G196" s="71"/>
      <c r="H196" s="71"/>
      <c r="I196" s="72">
        <f t="shared" si="8"/>
      </c>
      <c r="J196" s="72">
        <f t="shared" si="9"/>
      </c>
      <c r="K196" s="72">
        <f t="shared" si="10"/>
      </c>
    </row>
    <row r="197" spans="2:11" ht="15.75" customHeight="1">
      <c r="B197" s="75"/>
      <c r="C197" s="73"/>
      <c r="D197" s="76"/>
      <c r="E197" s="85"/>
      <c r="F197" s="71"/>
      <c r="G197" s="71"/>
      <c r="H197" s="71"/>
      <c r="I197" s="72">
        <f t="shared" si="8"/>
      </c>
      <c r="J197" s="72">
        <f t="shared" si="9"/>
      </c>
      <c r="K197" s="72">
        <f t="shared" si="10"/>
      </c>
    </row>
    <row r="198" spans="2:11" ht="15.75" customHeight="1">
      <c r="B198" s="75"/>
      <c r="C198" s="73"/>
      <c r="D198" s="76"/>
      <c r="E198" s="80"/>
      <c r="F198" s="71"/>
      <c r="G198" s="71"/>
      <c r="H198" s="71"/>
      <c r="I198" s="72">
        <f t="shared" si="8"/>
      </c>
      <c r="J198" s="72">
        <f t="shared" si="9"/>
      </c>
      <c r="K198" s="72">
        <f t="shared" si="10"/>
      </c>
    </row>
    <row r="199" spans="2:11" ht="15.75" customHeight="1">
      <c r="B199" s="77" t="s">
        <v>1433</v>
      </c>
      <c r="C199" s="78" t="s">
        <v>693</v>
      </c>
      <c r="D199" s="115" t="s">
        <v>694</v>
      </c>
      <c r="E199" s="107" t="s">
        <v>510</v>
      </c>
      <c r="F199" s="71"/>
      <c r="G199" s="71"/>
      <c r="H199" s="71"/>
      <c r="I199" s="72">
        <f t="shared" si="8"/>
      </c>
      <c r="J199" s="72">
        <f t="shared" si="9"/>
      </c>
      <c r="K199" s="72">
        <f t="shared" si="10"/>
      </c>
    </row>
    <row r="200" spans="2:11" ht="15.75" customHeight="1">
      <c r="B200" s="86"/>
      <c r="C200" s="73"/>
      <c r="D200" s="87"/>
      <c r="E200" s="85" t="s">
        <v>1338</v>
      </c>
      <c r="F200" s="71"/>
      <c r="G200" s="71"/>
      <c r="H200" s="71"/>
      <c r="I200" s="72">
        <f t="shared" si="8"/>
      </c>
      <c r="J200" s="72">
        <f t="shared" si="9"/>
      </c>
      <c r="K200" s="72">
        <f t="shared" si="10"/>
      </c>
    </row>
    <row r="201" spans="2:11" ht="15.75" customHeight="1">
      <c r="B201" s="134"/>
      <c r="C201" s="73"/>
      <c r="D201" s="135"/>
      <c r="E201" s="112" t="s">
        <v>1166</v>
      </c>
      <c r="F201" s="71"/>
      <c r="G201" s="71"/>
      <c r="H201" s="71"/>
      <c r="I201" s="72">
        <f t="shared" si="8"/>
      </c>
      <c r="J201" s="72">
        <f t="shared" si="9"/>
      </c>
      <c r="K201" s="72">
        <f t="shared" si="10"/>
      </c>
    </row>
    <row r="202" spans="2:11" ht="15.75">
      <c r="B202" s="136"/>
      <c r="C202" s="73"/>
      <c r="D202" s="115"/>
      <c r="E202" s="112" t="s">
        <v>1167</v>
      </c>
      <c r="F202" s="71"/>
      <c r="G202" s="71"/>
      <c r="H202" s="71"/>
      <c r="I202" s="72">
        <f t="shared" si="8"/>
      </c>
      <c r="J202" s="72">
        <f t="shared" si="9"/>
      </c>
      <c r="K202" s="72">
        <f t="shared" si="10"/>
      </c>
    </row>
    <row r="203" spans="2:11" ht="15.75" customHeight="1">
      <c r="B203" s="81"/>
      <c r="C203" s="73"/>
      <c r="D203" s="82"/>
      <c r="E203" s="112" t="s">
        <v>445</v>
      </c>
      <c r="F203" s="71"/>
      <c r="G203" s="71"/>
      <c r="H203" s="71"/>
      <c r="I203" s="72">
        <f t="shared" si="8"/>
      </c>
      <c r="J203" s="72">
        <f t="shared" si="9"/>
      </c>
      <c r="K203" s="72">
        <f t="shared" si="10"/>
      </c>
    </row>
    <row r="204" spans="2:11" ht="15.75" customHeight="1">
      <c r="B204" s="81"/>
      <c r="C204" s="73"/>
      <c r="D204" s="82"/>
      <c r="E204" s="112"/>
      <c r="F204" s="71"/>
      <c r="G204" s="71"/>
      <c r="H204" s="71"/>
      <c r="I204" s="72">
        <f t="shared" si="8"/>
      </c>
      <c r="J204" s="72">
        <f t="shared" si="9"/>
      </c>
      <c r="K204" s="72">
        <f t="shared" si="10"/>
      </c>
    </row>
    <row r="205" spans="2:11" ht="15.75" customHeight="1">
      <c r="B205" s="136"/>
      <c r="C205" s="73"/>
      <c r="D205" s="115"/>
      <c r="E205" s="80"/>
      <c r="F205" s="71"/>
      <c r="G205" s="71"/>
      <c r="H205" s="71"/>
      <c r="I205" s="72">
        <f t="shared" si="8"/>
      </c>
      <c r="J205" s="72">
        <f t="shared" si="9"/>
      </c>
      <c r="K205" s="72">
        <f t="shared" si="10"/>
      </c>
    </row>
    <row r="206" spans="2:11" ht="15.75" customHeight="1">
      <c r="B206" s="137"/>
      <c r="C206" s="73"/>
      <c r="D206" s="138"/>
      <c r="E206" s="7" t="s">
        <v>695</v>
      </c>
      <c r="F206" s="71"/>
      <c r="G206" s="71"/>
      <c r="H206" s="71"/>
      <c r="I206" s="72">
        <f t="shared" si="8"/>
      </c>
      <c r="J206" s="72">
        <f t="shared" si="9"/>
      </c>
      <c r="K206" s="72">
        <f t="shared" si="10"/>
      </c>
    </row>
    <row r="207" spans="2:11" ht="15.75" customHeight="1">
      <c r="B207" s="77" t="s">
        <v>1433</v>
      </c>
      <c r="C207" s="78" t="s">
        <v>696</v>
      </c>
      <c r="D207" s="88" t="s">
        <v>344</v>
      </c>
      <c r="E207" s="13"/>
      <c r="F207" s="71"/>
      <c r="G207" s="71"/>
      <c r="H207" s="71"/>
      <c r="I207" s="72">
        <f t="shared" si="8"/>
      </c>
      <c r="J207" s="72">
        <f t="shared" si="9"/>
      </c>
      <c r="K207" s="72">
        <f t="shared" si="10"/>
      </c>
    </row>
    <row r="208" spans="1:11" ht="15.75" customHeight="1">
      <c r="A208" s="35" t="str">
        <f>$C$207</f>
        <v>D112005</v>
      </c>
      <c r="B208" s="75" t="s">
        <v>345</v>
      </c>
      <c r="C208" s="73"/>
      <c r="D208" s="76"/>
      <c r="E208" s="79" t="s">
        <v>281</v>
      </c>
      <c r="F208" s="71"/>
      <c r="G208" s="71"/>
      <c r="H208" s="71"/>
      <c r="I208" s="72">
        <f t="shared" si="8"/>
      </c>
      <c r="J208" s="72">
        <f t="shared" si="9"/>
      </c>
      <c r="K208" s="72">
        <f t="shared" si="10"/>
      </c>
    </row>
    <row r="209" spans="1:11" ht="15.75" customHeight="1">
      <c r="A209" s="35" t="str">
        <f>$C$207</f>
        <v>D112005</v>
      </c>
      <c r="B209" s="75" t="s">
        <v>282</v>
      </c>
      <c r="C209" s="73"/>
      <c r="D209" s="76"/>
      <c r="E209" s="12" t="s">
        <v>239</v>
      </c>
      <c r="F209" s="71">
        <v>268778755.44</v>
      </c>
      <c r="G209" s="71">
        <v>281709206.74701494</v>
      </c>
      <c r="H209" s="187">
        <v>292787139.5931345</v>
      </c>
      <c r="I209" s="72">
        <f t="shared" si="8"/>
        <v>0.04810815976079416</v>
      </c>
      <c r="J209" s="72">
        <f t="shared" si="9"/>
        <v>0.0893239650352275</v>
      </c>
      <c r="K209" s="72">
        <f t="shared" si="10"/>
        <v>0.03932399999999989</v>
      </c>
    </row>
    <row r="210" spans="2:11" ht="15.75" customHeight="1">
      <c r="B210" s="75"/>
      <c r="C210" s="73"/>
      <c r="D210" s="88"/>
      <c r="E210" s="12"/>
      <c r="F210" s="71"/>
      <c r="G210" s="71"/>
      <c r="H210" s="71"/>
      <c r="I210" s="72">
        <f t="shared" si="8"/>
      </c>
      <c r="J210" s="72">
        <f t="shared" si="9"/>
      </c>
      <c r="K210" s="72">
        <f t="shared" si="10"/>
      </c>
    </row>
    <row r="211" spans="2:11" ht="15.75" customHeight="1">
      <c r="B211" s="77" t="s">
        <v>1433</v>
      </c>
      <c r="C211" s="78" t="s">
        <v>283</v>
      </c>
      <c r="D211" s="88" t="s">
        <v>271</v>
      </c>
      <c r="E211" s="107" t="s">
        <v>271</v>
      </c>
      <c r="F211" s="71"/>
      <c r="G211" s="71"/>
      <c r="H211" s="71"/>
      <c r="I211" s="72">
        <f t="shared" si="8"/>
      </c>
      <c r="J211" s="72">
        <f t="shared" si="9"/>
      </c>
      <c r="K211" s="72">
        <f t="shared" si="10"/>
      </c>
    </row>
    <row r="212" spans="1:11" ht="15.75" customHeight="1">
      <c r="A212" s="35" t="str">
        <f>$C$211</f>
        <v>D112006</v>
      </c>
      <c r="B212" s="75" t="s">
        <v>272</v>
      </c>
      <c r="C212" s="73"/>
      <c r="D212" s="76"/>
      <c r="E212" s="85" t="s">
        <v>1171</v>
      </c>
      <c r="F212" s="71"/>
      <c r="G212" s="71"/>
      <c r="H212" s="71"/>
      <c r="I212" s="72">
        <f aca="true" t="shared" si="13" ref="I212:I220">IF(F212=0,"",(G212-F212)/F212)</f>
      </c>
      <c r="J212" s="72">
        <f aca="true" t="shared" si="14" ref="J212:J220">IF(F212=0,"",(H212-F212)/F212)</f>
      </c>
      <c r="K212" s="72">
        <f aca="true" t="shared" si="15" ref="K212:K220">IF(G212=0,"",(H212-G212)/G212)</f>
      </c>
    </row>
    <row r="213" spans="2:11" ht="15.75" customHeight="1">
      <c r="B213" s="75"/>
      <c r="C213" s="73"/>
      <c r="D213" s="76"/>
      <c r="E213" s="12"/>
      <c r="F213" s="71"/>
      <c r="G213" s="71"/>
      <c r="H213" s="71"/>
      <c r="I213" s="72">
        <f t="shared" si="13"/>
      </c>
      <c r="J213" s="72">
        <f t="shared" si="14"/>
      </c>
      <c r="K213" s="72">
        <f t="shared" si="15"/>
      </c>
    </row>
    <row r="214" spans="2:11" ht="15.75" customHeight="1">
      <c r="B214" s="108"/>
      <c r="C214" s="73"/>
      <c r="D214" s="109"/>
      <c r="E214" s="80"/>
      <c r="F214" s="71"/>
      <c r="G214" s="71"/>
      <c r="H214" s="71"/>
      <c r="I214" s="72">
        <f t="shared" si="13"/>
      </c>
      <c r="J214" s="72">
        <f t="shared" si="14"/>
      </c>
      <c r="K214" s="72">
        <f t="shared" si="15"/>
      </c>
    </row>
    <row r="215" spans="2:11" ht="15.75" customHeight="1">
      <c r="B215" s="108"/>
      <c r="C215" s="73"/>
      <c r="D215" s="109"/>
      <c r="E215" s="7" t="s">
        <v>466</v>
      </c>
      <c r="F215" s="71"/>
      <c r="G215" s="71"/>
      <c r="H215" s="71"/>
      <c r="I215" s="72">
        <f t="shared" si="13"/>
      </c>
      <c r="J215" s="72">
        <f t="shared" si="14"/>
      </c>
      <c r="K215" s="72">
        <f t="shared" si="15"/>
      </c>
    </row>
    <row r="216" spans="2:11" ht="15.75" customHeight="1">
      <c r="B216" s="108"/>
      <c r="C216" s="73"/>
      <c r="D216" s="109"/>
      <c r="E216" s="10" t="s">
        <v>1042</v>
      </c>
      <c r="F216" s="71"/>
      <c r="G216" s="71"/>
      <c r="H216" s="71"/>
      <c r="I216" s="72">
        <f t="shared" si="13"/>
      </c>
      <c r="J216" s="72">
        <f t="shared" si="14"/>
      </c>
      <c r="K216" s="72">
        <f t="shared" si="15"/>
      </c>
    </row>
    <row r="217" spans="2:11" ht="15.75" customHeight="1">
      <c r="B217" s="77" t="s">
        <v>1433</v>
      </c>
      <c r="C217" s="78" t="s">
        <v>273</v>
      </c>
      <c r="D217" s="78" t="s">
        <v>797</v>
      </c>
      <c r="E217" s="12" t="s">
        <v>797</v>
      </c>
      <c r="F217" s="71"/>
      <c r="G217" s="71"/>
      <c r="H217" s="71"/>
      <c r="I217" s="72">
        <f t="shared" si="13"/>
      </c>
      <c r="J217" s="72">
        <f t="shared" si="14"/>
      </c>
      <c r="K217" s="72">
        <f t="shared" si="15"/>
      </c>
    </row>
    <row r="218" spans="1:11" ht="15.75" customHeight="1">
      <c r="A218" s="35" t="str">
        <f>$C$217</f>
        <v>D122001</v>
      </c>
      <c r="B218" s="108" t="s">
        <v>274</v>
      </c>
      <c r="C218" s="73"/>
      <c r="D218" s="109"/>
      <c r="E218" s="85" t="s">
        <v>633</v>
      </c>
      <c r="F218" s="71"/>
      <c r="G218" s="71"/>
      <c r="H218" s="71"/>
      <c r="I218" s="72">
        <f t="shared" si="13"/>
      </c>
      <c r="J218" s="72">
        <f t="shared" si="14"/>
      </c>
      <c r="K218" s="72">
        <f t="shared" si="15"/>
      </c>
    </row>
    <row r="219" spans="2:11" ht="15.75" customHeight="1" thickBot="1">
      <c r="B219" s="108"/>
      <c r="C219" s="90"/>
      <c r="D219" s="109"/>
      <c r="E219" s="13"/>
      <c r="F219" s="71"/>
      <c r="G219" s="71"/>
      <c r="H219" s="71"/>
      <c r="I219" s="72">
        <f t="shared" si="13"/>
      </c>
      <c r="J219" s="72">
        <f t="shared" si="14"/>
      </c>
      <c r="K219" s="72">
        <f t="shared" si="15"/>
      </c>
    </row>
    <row r="220" spans="1:11" s="140" customFormat="1" ht="15.75" customHeight="1" thickBot="1">
      <c r="A220" s="118"/>
      <c r="B220" s="119"/>
      <c r="C220" s="139"/>
      <c r="D220" s="121"/>
      <c r="E220" s="122" t="s">
        <v>920</v>
      </c>
      <c r="F220" s="123">
        <f>SUM(F148:F218)</f>
        <v>475594276.73</v>
      </c>
      <c r="G220" s="123">
        <f>SUM(G148:G218)</f>
        <v>460263574.2019158</v>
      </c>
      <c r="H220" s="123">
        <f>SUM(H148:H218)</f>
        <v>488266569.8239944</v>
      </c>
      <c r="I220" s="124">
        <f t="shared" si="13"/>
        <v>-0.03223483392923086</v>
      </c>
      <c r="J220" s="124">
        <f t="shared" si="14"/>
        <v>0.02664517576015444</v>
      </c>
      <c r="K220" s="124">
        <f t="shared" si="15"/>
        <v>0.060841216189299815</v>
      </c>
    </row>
    <row r="221" spans="2:11" ht="15.75" customHeight="1">
      <c r="B221" s="141"/>
      <c r="C221" s="73"/>
      <c r="D221" s="141"/>
      <c r="E221" s="141"/>
      <c r="F221" s="142"/>
      <c r="G221" s="142"/>
      <c r="H221" s="142"/>
      <c r="I221" s="143"/>
      <c r="J221" s="143"/>
      <c r="K221" s="143"/>
    </row>
    <row r="222" spans="2:11" ht="15.75" customHeight="1">
      <c r="B222" s="52" t="s">
        <v>918</v>
      </c>
      <c r="C222" s="60"/>
      <c r="D222" s="52"/>
      <c r="E222" s="52"/>
      <c r="F222" s="144"/>
      <c r="G222" s="144"/>
      <c r="H222" s="144"/>
      <c r="I222" s="145"/>
      <c r="J222" s="145"/>
      <c r="K222" s="145"/>
    </row>
    <row r="223" spans="2:11" ht="15.75" customHeight="1">
      <c r="B223" s="52" t="s">
        <v>1079</v>
      </c>
      <c r="C223" s="60"/>
      <c r="D223" s="52"/>
      <c r="E223" s="52"/>
      <c r="F223" s="144"/>
      <c r="G223" s="144"/>
      <c r="H223" s="144"/>
      <c r="I223" s="145"/>
      <c r="J223" s="145"/>
      <c r="K223" s="145"/>
    </row>
    <row r="224" spans="2:13" ht="15.75" customHeight="1">
      <c r="B224" s="52" t="s">
        <v>1101</v>
      </c>
      <c r="C224" s="60"/>
      <c r="D224" s="52"/>
      <c r="E224" s="52"/>
      <c r="F224" s="144"/>
      <c r="G224" s="144"/>
      <c r="H224" s="144"/>
      <c r="I224" s="145"/>
      <c r="J224" s="145"/>
      <c r="K224" s="145"/>
      <c r="L224" s="146"/>
      <c r="M224" s="146"/>
    </row>
    <row r="225" spans="3:13" ht="15.75" customHeight="1">
      <c r="C225" s="60"/>
      <c r="D225" s="52"/>
      <c r="E225" s="52"/>
      <c r="F225" s="144"/>
      <c r="G225" s="144"/>
      <c r="H225" s="144"/>
      <c r="I225" s="145"/>
      <c r="J225" s="145"/>
      <c r="K225" s="145"/>
      <c r="L225" s="146"/>
      <c r="M225" s="146"/>
    </row>
    <row r="226" spans="2:11" ht="15.75" customHeight="1" thickBot="1">
      <c r="B226" s="52"/>
      <c r="C226" s="73"/>
      <c r="D226" s="52"/>
      <c r="E226" s="147"/>
      <c r="F226" s="127"/>
      <c r="G226" s="127"/>
      <c r="H226" s="53" t="s">
        <v>1280</v>
      </c>
      <c r="I226" s="148"/>
      <c r="J226" s="148"/>
      <c r="K226" s="148"/>
    </row>
    <row r="227" spans="2:11" ht="15.75" customHeight="1">
      <c r="B227" s="55"/>
      <c r="C227" s="56"/>
      <c r="D227" s="57"/>
      <c r="E227" s="1"/>
      <c r="F227" s="1" t="s">
        <v>1281</v>
      </c>
      <c r="G227" s="1" t="s">
        <v>1241</v>
      </c>
      <c r="H227" s="1" t="s">
        <v>1429</v>
      </c>
      <c r="I227" s="58" t="s">
        <v>1312</v>
      </c>
      <c r="J227" s="58" t="s">
        <v>1312</v>
      </c>
      <c r="K227" s="58" t="s">
        <v>1312</v>
      </c>
    </row>
    <row r="228" spans="2:11" ht="15.75" customHeight="1">
      <c r="B228" s="59" t="s">
        <v>1450</v>
      </c>
      <c r="C228" s="60"/>
      <c r="D228" s="61"/>
      <c r="E228" s="2" t="s">
        <v>1080</v>
      </c>
      <c r="F228" s="2">
        <v>2005</v>
      </c>
      <c r="G228" s="2">
        <v>2005</v>
      </c>
      <c r="H228" s="2">
        <v>2006</v>
      </c>
      <c r="I228" s="34"/>
      <c r="J228" s="34"/>
      <c r="K228" s="34"/>
    </row>
    <row r="229" spans="2:11" ht="15.75" customHeight="1" thickBot="1">
      <c r="B229" s="62"/>
      <c r="C229" s="63"/>
      <c r="D229" s="64"/>
      <c r="E229" s="6"/>
      <c r="F229" s="65" t="s">
        <v>1131</v>
      </c>
      <c r="G229" s="65" t="s">
        <v>1129</v>
      </c>
      <c r="H229" s="65" t="s">
        <v>1130</v>
      </c>
      <c r="I229" s="66" t="s">
        <v>1430</v>
      </c>
      <c r="J229" s="66" t="s">
        <v>1431</v>
      </c>
      <c r="K229" s="66" t="s">
        <v>1432</v>
      </c>
    </row>
    <row r="230" spans="2:11" ht="15.75" customHeight="1">
      <c r="B230" s="30"/>
      <c r="C230" s="73"/>
      <c r="D230" s="74"/>
      <c r="E230" s="7" t="s">
        <v>1291</v>
      </c>
      <c r="F230" s="71"/>
      <c r="G230" s="71"/>
      <c r="H230" s="71"/>
      <c r="I230" s="72">
        <f aca="true" t="shared" si="16" ref="I230:I278">IF(F230=0,"",(G230-F230)/F230)</f>
      </c>
      <c r="J230" s="72">
        <f aca="true" t="shared" si="17" ref="J230:J278">IF(F230=0,"",(H230-F230)/F230)</f>
      </c>
      <c r="K230" s="72">
        <f aca="true" t="shared" si="18" ref="K230:K278">IF(G230=0,"",(H230-G230)/G230)</f>
      </c>
    </row>
    <row r="231" spans="2:11" ht="15.75" customHeight="1">
      <c r="B231" s="77" t="s">
        <v>1433</v>
      </c>
      <c r="C231" s="78" t="s">
        <v>275</v>
      </c>
      <c r="D231" s="88" t="s">
        <v>276</v>
      </c>
      <c r="E231" s="9"/>
      <c r="F231" s="71"/>
      <c r="G231" s="71"/>
      <c r="H231" s="71"/>
      <c r="I231" s="72">
        <f t="shared" si="16"/>
      </c>
      <c r="J231" s="72">
        <f t="shared" si="17"/>
      </c>
      <c r="K231" s="72">
        <f t="shared" si="18"/>
      </c>
    </row>
    <row r="232" spans="1:11" ht="15.75" customHeight="1">
      <c r="A232" s="35" t="str">
        <f>$C$231</f>
        <v>D113001</v>
      </c>
      <c r="B232" s="108" t="s">
        <v>277</v>
      </c>
      <c r="C232" s="73"/>
      <c r="D232" s="109"/>
      <c r="E232" s="12" t="s">
        <v>1081</v>
      </c>
      <c r="F232" s="71"/>
      <c r="G232" s="71"/>
      <c r="H232" s="71"/>
      <c r="I232" s="72">
        <f t="shared" si="16"/>
      </c>
      <c r="J232" s="72">
        <f t="shared" si="17"/>
      </c>
      <c r="K232" s="72">
        <f t="shared" si="18"/>
      </c>
    </row>
    <row r="233" spans="1:11" ht="15.75" customHeight="1">
      <c r="A233" s="35" t="str">
        <f>$C$231</f>
        <v>D113001</v>
      </c>
      <c r="B233" s="108" t="s">
        <v>430</v>
      </c>
      <c r="C233" s="73"/>
      <c r="D233" s="109"/>
      <c r="E233" s="12" t="s">
        <v>1082</v>
      </c>
      <c r="F233" s="71"/>
      <c r="G233" s="71"/>
      <c r="H233" s="71"/>
      <c r="I233" s="72">
        <f t="shared" si="16"/>
      </c>
      <c r="J233" s="72">
        <f t="shared" si="17"/>
      </c>
      <c r="K233" s="72">
        <f t="shared" si="18"/>
      </c>
    </row>
    <row r="234" spans="1:11" ht="15.75" customHeight="1">
      <c r="A234" s="35" t="str">
        <f>$C$231</f>
        <v>D113001</v>
      </c>
      <c r="B234" s="108" t="s">
        <v>431</v>
      </c>
      <c r="C234" s="73"/>
      <c r="D234" s="109"/>
      <c r="E234" s="12" t="s">
        <v>97</v>
      </c>
      <c r="F234" s="71"/>
      <c r="G234" s="71"/>
      <c r="H234" s="71"/>
      <c r="I234" s="72">
        <f t="shared" si="16"/>
      </c>
      <c r="J234" s="72">
        <f t="shared" si="17"/>
      </c>
      <c r="K234" s="72">
        <f t="shared" si="18"/>
      </c>
    </row>
    <row r="235" spans="1:11" ht="15.75" customHeight="1">
      <c r="A235" s="35" t="str">
        <f>$C$231</f>
        <v>D113001</v>
      </c>
      <c r="B235" s="108" t="s">
        <v>432</v>
      </c>
      <c r="C235" s="73"/>
      <c r="D235" s="109"/>
      <c r="E235" s="12" t="s">
        <v>306</v>
      </c>
      <c r="F235" s="71"/>
      <c r="G235" s="71"/>
      <c r="H235" s="71"/>
      <c r="I235" s="72">
        <f t="shared" si="16"/>
      </c>
      <c r="J235" s="72">
        <f t="shared" si="17"/>
      </c>
      <c r="K235" s="72">
        <f t="shared" si="18"/>
      </c>
    </row>
    <row r="236" spans="1:11" ht="15.75" customHeight="1">
      <c r="A236" s="149"/>
      <c r="B236" s="108" t="s">
        <v>433</v>
      </c>
      <c r="C236" s="150" t="s">
        <v>434</v>
      </c>
      <c r="D236" s="74" t="s">
        <v>435</v>
      </c>
      <c r="E236" s="12" t="s">
        <v>433</v>
      </c>
      <c r="F236" s="71"/>
      <c r="G236" s="71"/>
      <c r="H236" s="71"/>
      <c r="I236" s="72">
        <f t="shared" si="16"/>
      </c>
      <c r="J236" s="72">
        <f t="shared" si="17"/>
      </c>
      <c r="K236" s="72">
        <f t="shared" si="18"/>
      </c>
    </row>
    <row r="237" spans="1:11" ht="15.75" customHeight="1">
      <c r="A237" s="149"/>
      <c r="B237" s="108" t="s">
        <v>436</v>
      </c>
      <c r="C237" s="150" t="s">
        <v>437</v>
      </c>
      <c r="D237" s="74" t="s">
        <v>284</v>
      </c>
      <c r="E237" s="12" t="s">
        <v>436</v>
      </c>
      <c r="F237" s="71"/>
      <c r="G237" s="71"/>
      <c r="H237" s="71"/>
      <c r="I237" s="72">
        <f t="shared" si="16"/>
      </c>
      <c r="J237" s="72">
        <f t="shared" si="17"/>
      </c>
      <c r="K237" s="72">
        <f t="shared" si="18"/>
      </c>
    </row>
    <row r="238" spans="1:11" ht="15.75" customHeight="1">
      <c r="A238" s="35" t="str">
        <f>$C$231</f>
        <v>D113001</v>
      </c>
      <c r="B238" s="108" t="s">
        <v>285</v>
      </c>
      <c r="C238" s="73"/>
      <c r="D238" s="109"/>
      <c r="E238" s="12" t="s">
        <v>866</v>
      </c>
      <c r="F238" s="71"/>
      <c r="G238" s="71"/>
      <c r="H238" s="71"/>
      <c r="I238" s="72">
        <f t="shared" si="16"/>
      </c>
      <c r="J238" s="72">
        <f t="shared" si="17"/>
      </c>
      <c r="K238" s="72">
        <f t="shared" si="18"/>
      </c>
    </row>
    <row r="239" spans="1:11" ht="15.75" customHeight="1">
      <c r="A239" s="35" t="str">
        <f>$C$231</f>
        <v>D113001</v>
      </c>
      <c r="B239" s="108" t="s">
        <v>286</v>
      </c>
      <c r="C239" s="73"/>
      <c r="D239" s="109"/>
      <c r="E239" s="12" t="s">
        <v>194</v>
      </c>
      <c r="F239" s="71"/>
      <c r="G239" s="71"/>
      <c r="H239" s="71"/>
      <c r="I239" s="72">
        <f t="shared" si="16"/>
      </c>
      <c r="J239" s="72">
        <f t="shared" si="17"/>
      </c>
      <c r="K239" s="72">
        <f t="shared" si="18"/>
      </c>
    </row>
    <row r="240" spans="1:11" ht="15.75" customHeight="1">
      <c r="A240" s="35" t="str">
        <f>$C$231</f>
        <v>D113001</v>
      </c>
      <c r="B240" s="108" t="s">
        <v>287</v>
      </c>
      <c r="C240" s="73"/>
      <c r="D240" s="109"/>
      <c r="E240" s="12" t="s">
        <v>23</v>
      </c>
      <c r="F240" s="71">
        <v>161683234.68</v>
      </c>
      <c r="G240" s="71">
        <v>168285796.33011064</v>
      </c>
      <c r="H240" s="71">
        <v>178769624.53741047</v>
      </c>
      <c r="I240" s="72">
        <f t="shared" si="16"/>
        <v>0.040836402507522074</v>
      </c>
      <c r="J240" s="72">
        <f t="shared" si="17"/>
        <v>0.1056781792572834</v>
      </c>
      <c r="K240" s="72">
        <f t="shared" si="18"/>
        <v>0.062297760333466734</v>
      </c>
    </row>
    <row r="241" spans="2:11" ht="15.75" customHeight="1">
      <c r="B241" s="81"/>
      <c r="C241" s="73"/>
      <c r="D241" s="82"/>
      <c r="E241" s="12"/>
      <c r="F241" s="71"/>
      <c r="G241" s="71"/>
      <c r="H241" s="71"/>
      <c r="I241" s="72">
        <f t="shared" si="16"/>
      </c>
      <c r="J241" s="72">
        <f t="shared" si="17"/>
      </c>
      <c r="K241" s="72">
        <f t="shared" si="18"/>
      </c>
    </row>
    <row r="242" spans="2:11" ht="15.75" customHeight="1">
      <c r="B242" s="81"/>
      <c r="C242" s="73"/>
      <c r="D242" s="82"/>
      <c r="E242" s="12" t="s">
        <v>25</v>
      </c>
      <c r="F242" s="71"/>
      <c r="G242" s="71"/>
      <c r="H242" s="71"/>
      <c r="I242" s="72">
        <f t="shared" si="16"/>
      </c>
      <c r="J242" s="72">
        <f t="shared" si="17"/>
      </c>
      <c r="K242" s="72">
        <f t="shared" si="18"/>
      </c>
    </row>
    <row r="243" spans="1:11" ht="15.75" customHeight="1">
      <c r="A243" s="35" t="str">
        <f>$C$231</f>
        <v>D113001</v>
      </c>
      <c r="B243" s="108" t="s">
        <v>288</v>
      </c>
      <c r="C243" s="73"/>
      <c r="D243" s="109"/>
      <c r="E243" s="85" t="s">
        <v>26</v>
      </c>
      <c r="F243" s="71"/>
      <c r="G243" s="71"/>
      <c r="H243" s="71"/>
      <c r="I243" s="72">
        <f t="shared" si="16"/>
      </c>
      <c r="J243" s="72">
        <f t="shared" si="17"/>
      </c>
      <c r="K243" s="72">
        <f t="shared" si="18"/>
      </c>
    </row>
    <row r="244" spans="1:11" ht="15.75" customHeight="1">
      <c r="A244" s="35" t="str">
        <f>$C$231</f>
        <v>D113001</v>
      </c>
      <c r="B244" s="108" t="s">
        <v>289</v>
      </c>
      <c r="C244" s="73"/>
      <c r="D244" s="109"/>
      <c r="E244" s="85" t="s">
        <v>28</v>
      </c>
      <c r="F244" s="71"/>
      <c r="G244" s="71"/>
      <c r="H244" s="71"/>
      <c r="I244" s="72">
        <f t="shared" si="16"/>
      </c>
      <c r="J244" s="72">
        <f t="shared" si="17"/>
      </c>
      <c r="K244" s="72">
        <f t="shared" si="18"/>
      </c>
    </row>
    <row r="245" spans="2:11" ht="15.75" customHeight="1">
      <c r="B245" s="75"/>
      <c r="C245" s="73"/>
      <c r="D245" s="76"/>
      <c r="E245" s="80"/>
      <c r="F245" s="71"/>
      <c r="G245" s="71"/>
      <c r="H245" s="71"/>
      <c r="I245" s="72">
        <f t="shared" si="16"/>
      </c>
      <c r="J245" s="72">
        <f t="shared" si="17"/>
      </c>
      <c r="K245" s="72">
        <f t="shared" si="18"/>
      </c>
    </row>
    <row r="246" spans="2:11" ht="15.75" customHeight="1">
      <c r="B246" s="75"/>
      <c r="C246" s="73"/>
      <c r="D246" s="76"/>
      <c r="E246" s="79" t="s">
        <v>290</v>
      </c>
      <c r="F246" s="71"/>
      <c r="G246" s="71"/>
      <c r="H246" s="71"/>
      <c r="I246" s="72">
        <f t="shared" si="16"/>
      </c>
      <c r="J246" s="72">
        <f t="shared" si="17"/>
      </c>
      <c r="K246" s="72">
        <f t="shared" si="18"/>
      </c>
    </row>
    <row r="247" spans="1:11" ht="15.75" customHeight="1">
      <c r="A247" s="35" t="str">
        <f>$C$231</f>
        <v>D113001</v>
      </c>
      <c r="B247" s="108" t="s">
        <v>291</v>
      </c>
      <c r="C247" s="73"/>
      <c r="D247" s="109"/>
      <c r="E247" s="85" t="s">
        <v>29</v>
      </c>
      <c r="F247" s="71">
        <v>979896197.32</v>
      </c>
      <c r="G247" s="71">
        <v>962750611.9888691</v>
      </c>
      <c r="H247" s="187">
        <v>927301922.6503044</v>
      </c>
      <c r="I247" s="72">
        <f t="shared" si="16"/>
        <v>-0.01749734857429172</v>
      </c>
      <c r="J247" s="72">
        <f t="shared" si="17"/>
        <v>-0.05367331235036945</v>
      </c>
      <c r="K247" s="72">
        <f t="shared" si="18"/>
        <v>-0.036820219999999834</v>
      </c>
    </row>
    <row r="248" spans="1:11" ht="15.75" customHeight="1">
      <c r="A248" s="35" t="str">
        <f>$C$231</f>
        <v>D113001</v>
      </c>
      <c r="B248" s="108" t="s">
        <v>292</v>
      </c>
      <c r="C248" s="73"/>
      <c r="D248" s="109"/>
      <c r="E248" s="85" t="s">
        <v>26</v>
      </c>
      <c r="F248" s="71">
        <v>5428220799.14</v>
      </c>
      <c r="G248" s="71">
        <v>5503269497.956807</v>
      </c>
      <c r="H248" s="187">
        <v>6181595271.638363</v>
      </c>
      <c r="I248" s="72">
        <f t="shared" si="16"/>
        <v>0.01382565330221955</v>
      </c>
      <c r="J248" s="72">
        <f t="shared" si="17"/>
        <v>0.13878847238817563</v>
      </c>
      <c r="K248" s="72">
        <f t="shared" si="18"/>
        <v>0.12325868721010247</v>
      </c>
    </row>
    <row r="249" spans="1:11" ht="15.75" customHeight="1">
      <c r="A249" s="35" t="str">
        <f>$C$231</f>
        <v>D113001</v>
      </c>
      <c r="B249" s="108" t="s">
        <v>867</v>
      </c>
      <c r="C249" s="73"/>
      <c r="D249" s="109"/>
      <c r="E249" s="85" t="s">
        <v>28</v>
      </c>
      <c r="F249" s="71">
        <v>1299426505.37</v>
      </c>
      <c r="G249" s="71">
        <v>1333718980.9343019</v>
      </c>
      <c r="H249" s="187">
        <v>1436104786.0015328</v>
      </c>
      <c r="I249" s="72">
        <f t="shared" si="16"/>
        <v>0.026390469505266478</v>
      </c>
      <c r="J249" s="72">
        <f t="shared" si="17"/>
        <v>0.10518354063634788</v>
      </c>
      <c r="K249" s="72">
        <f t="shared" si="18"/>
        <v>0.07676715000000019</v>
      </c>
    </row>
    <row r="250" spans="2:11" ht="15.75" customHeight="1">
      <c r="B250" s="108"/>
      <c r="C250" s="73"/>
      <c r="D250" s="109"/>
      <c r="E250" s="85"/>
      <c r="F250" s="71"/>
      <c r="G250" s="71"/>
      <c r="H250" s="71"/>
      <c r="I250" s="72">
        <f t="shared" si="16"/>
      </c>
      <c r="J250" s="72">
        <f t="shared" si="17"/>
      </c>
      <c r="K250" s="72">
        <f t="shared" si="18"/>
      </c>
    </row>
    <row r="251" spans="1:11" ht="15.75" customHeight="1">
      <c r="A251" s="35" t="str">
        <f>$C$231</f>
        <v>D113001</v>
      </c>
      <c r="B251" s="108" t="s">
        <v>1214</v>
      </c>
      <c r="C251" s="73"/>
      <c r="D251" s="109"/>
      <c r="E251" s="12" t="s">
        <v>1215</v>
      </c>
      <c r="F251" s="71">
        <v>530900</v>
      </c>
      <c r="G251" s="71">
        <v>467535.73357499996</v>
      </c>
      <c r="H251" s="71">
        <v>476886.4482465</v>
      </c>
      <c r="I251" s="72">
        <f t="shared" si="16"/>
        <v>-0.11935254553588254</v>
      </c>
      <c r="J251" s="72">
        <f t="shared" si="17"/>
        <v>-0.10173959644660013</v>
      </c>
      <c r="K251" s="72">
        <f t="shared" si="18"/>
        <v>0.02000000000000006</v>
      </c>
    </row>
    <row r="252" spans="2:11" ht="15.75" customHeight="1">
      <c r="B252" s="137"/>
      <c r="C252" s="73"/>
      <c r="D252" s="138"/>
      <c r="E252" s="80"/>
      <c r="F252" s="71"/>
      <c r="G252" s="71"/>
      <c r="H252" s="71"/>
      <c r="I252" s="72">
        <f t="shared" si="16"/>
      </c>
      <c r="J252" s="72">
        <f t="shared" si="17"/>
      </c>
      <c r="K252" s="72">
        <f t="shared" si="18"/>
      </c>
    </row>
    <row r="253" spans="2:11" ht="15.75" customHeight="1">
      <c r="B253" s="134"/>
      <c r="C253" s="73"/>
      <c r="D253" s="135"/>
      <c r="E253" s="79" t="s">
        <v>307</v>
      </c>
      <c r="F253" s="71"/>
      <c r="G253" s="71"/>
      <c r="H253" s="71"/>
      <c r="I253" s="72">
        <f t="shared" si="16"/>
      </c>
      <c r="J253" s="72">
        <f t="shared" si="17"/>
      </c>
      <c r="K253" s="72">
        <f t="shared" si="18"/>
      </c>
    </row>
    <row r="254" spans="1:11" ht="15.75" customHeight="1">
      <c r="A254" s="35" t="str">
        <f>$C$231</f>
        <v>D113001</v>
      </c>
      <c r="B254" s="108" t="s">
        <v>1216</v>
      </c>
      <c r="C254" s="73"/>
      <c r="D254" s="109"/>
      <c r="E254" s="85" t="s">
        <v>29</v>
      </c>
      <c r="F254" s="71">
        <v>49728.39</v>
      </c>
      <c r="G254" s="71">
        <v>48579.561250324005</v>
      </c>
      <c r="H254" s="187">
        <v>48394.15208258024</v>
      </c>
      <c r="I254" s="72">
        <f t="shared" si="16"/>
        <v>-0.023102070058491637</v>
      </c>
      <c r="J254" s="72">
        <f t="shared" si="17"/>
        <v>-0.026830507028676294</v>
      </c>
      <c r="K254" s="72">
        <f t="shared" si="18"/>
        <v>-0.0038166085277792482</v>
      </c>
    </row>
    <row r="255" spans="1:11" ht="15.75" customHeight="1">
      <c r="A255" s="35" t="str">
        <f>$C$231</f>
        <v>D113001</v>
      </c>
      <c r="B255" s="108" t="s">
        <v>226</v>
      </c>
      <c r="C255" s="73"/>
      <c r="D255" s="109"/>
      <c r="E255" s="85" t="s">
        <v>26</v>
      </c>
      <c r="F255" s="71">
        <v>1701675.75</v>
      </c>
      <c r="G255" s="71">
        <v>1616806.3862689424</v>
      </c>
      <c r="H255" s="187">
        <v>1643927.2594914548</v>
      </c>
      <c r="I255" s="72">
        <f t="shared" si="16"/>
        <v>-0.04987399258117042</v>
      </c>
      <c r="J255" s="72">
        <f t="shared" si="17"/>
        <v>-0.03393624814160112</v>
      </c>
      <c r="K255" s="72">
        <f t="shared" si="18"/>
        <v>0.016774348155006044</v>
      </c>
    </row>
    <row r="256" spans="1:11" ht="15.75" customHeight="1">
      <c r="A256" s="35" t="str">
        <f>$C$231</f>
        <v>D113001</v>
      </c>
      <c r="B256" s="108" t="s">
        <v>227</v>
      </c>
      <c r="C256" s="73"/>
      <c r="D256" s="109"/>
      <c r="E256" s="85" t="s">
        <v>28</v>
      </c>
      <c r="F256" s="71">
        <v>2428.41</v>
      </c>
      <c r="G256" s="71">
        <v>2656.8894720000003</v>
      </c>
      <c r="H256" s="187">
        <v>2728.625487744</v>
      </c>
      <c r="I256" s="72">
        <f t="shared" si="16"/>
        <v>0.09408603654242918</v>
      </c>
      <c r="J256" s="72">
        <f t="shared" si="17"/>
        <v>0.12362635952907469</v>
      </c>
      <c r="K256" s="72">
        <f t="shared" si="18"/>
        <v>0.026999999999999927</v>
      </c>
    </row>
    <row r="257" spans="2:11" ht="15.75" customHeight="1">
      <c r="B257" s="137"/>
      <c r="C257" s="73"/>
      <c r="D257" s="138"/>
      <c r="E257" s="80"/>
      <c r="F257" s="71"/>
      <c r="G257" s="71"/>
      <c r="H257" s="71"/>
      <c r="I257" s="72">
        <f t="shared" si="16"/>
      </c>
      <c r="J257" s="72">
        <f t="shared" si="17"/>
      </c>
      <c r="K257" s="72">
        <f t="shared" si="18"/>
      </c>
    </row>
    <row r="258" spans="1:11" ht="15.75" customHeight="1">
      <c r="A258" s="35" t="str">
        <f>$C$231</f>
        <v>D113001</v>
      </c>
      <c r="B258" s="108" t="s">
        <v>228</v>
      </c>
      <c r="C258" s="73"/>
      <c r="D258" s="109"/>
      <c r="E258" s="12" t="s">
        <v>992</v>
      </c>
      <c r="F258" s="71"/>
      <c r="G258" s="71"/>
      <c r="H258" s="71"/>
      <c r="I258" s="72">
        <f t="shared" si="16"/>
      </c>
      <c r="J258" s="72">
        <f t="shared" si="17"/>
      </c>
      <c r="K258" s="72">
        <f t="shared" si="18"/>
      </c>
    </row>
    <row r="259" spans="2:11" ht="15.75" customHeight="1">
      <c r="B259" s="134"/>
      <c r="C259" s="73"/>
      <c r="D259" s="135"/>
      <c r="E259" s="12"/>
      <c r="F259" s="71"/>
      <c r="G259" s="71"/>
      <c r="H259" s="71"/>
      <c r="I259" s="72">
        <f t="shared" si="16"/>
      </c>
      <c r="J259" s="72">
        <f t="shared" si="17"/>
      </c>
      <c r="K259" s="72">
        <f t="shared" si="18"/>
      </c>
    </row>
    <row r="260" spans="1:11" ht="15.75" customHeight="1">
      <c r="A260" s="35" t="str">
        <f>$C$231</f>
        <v>D113001</v>
      </c>
      <c r="B260" s="108" t="s">
        <v>691</v>
      </c>
      <c r="C260" s="73"/>
      <c r="D260" s="74"/>
      <c r="E260" s="12" t="s">
        <v>353</v>
      </c>
      <c r="F260" s="71"/>
      <c r="G260" s="71"/>
      <c r="H260" s="71"/>
      <c r="I260" s="72">
        <f t="shared" si="16"/>
      </c>
      <c r="J260" s="72">
        <f t="shared" si="17"/>
      </c>
      <c r="K260" s="72">
        <f t="shared" si="18"/>
      </c>
    </row>
    <row r="261" spans="2:11" ht="15.75" customHeight="1">
      <c r="B261" s="137"/>
      <c r="C261" s="73"/>
      <c r="D261" s="138"/>
      <c r="E261" s="79"/>
      <c r="F261" s="71"/>
      <c r="G261" s="71"/>
      <c r="H261" s="71"/>
      <c r="I261" s="72">
        <f t="shared" si="16"/>
      </c>
      <c r="J261" s="72">
        <f t="shared" si="17"/>
      </c>
      <c r="K261" s="72">
        <f t="shared" si="18"/>
      </c>
    </row>
    <row r="262" spans="2:11" ht="15.75" customHeight="1">
      <c r="B262" s="137"/>
      <c r="C262" s="73"/>
      <c r="D262" s="138"/>
      <c r="E262" s="79"/>
      <c r="F262" s="71"/>
      <c r="G262" s="71"/>
      <c r="H262" s="71"/>
      <c r="I262" s="72">
        <f t="shared" si="16"/>
      </c>
      <c r="J262" s="72">
        <f t="shared" si="17"/>
      </c>
      <c r="K262" s="72">
        <f t="shared" si="18"/>
      </c>
    </row>
    <row r="263" spans="2:11" ht="15.75" customHeight="1">
      <c r="B263" s="77" t="s">
        <v>1433</v>
      </c>
      <c r="C263" s="78" t="s">
        <v>354</v>
      </c>
      <c r="D263" s="78" t="s">
        <v>355</v>
      </c>
      <c r="E263" s="12" t="s">
        <v>1202</v>
      </c>
      <c r="F263" s="71"/>
      <c r="G263" s="71"/>
      <c r="H263" s="71"/>
      <c r="I263" s="72">
        <f t="shared" si="16"/>
      </c>
      <c r="J263" s="72">
        <f t="shared" si="17"/>
      </c>
      <c r="K263" s="72">
        <f t="shared" si="18"/>
      </c>
    </row>
    <row r="264" spans="1:11" ht="15.75" customHeight="1">
      <c r="A264" s="35" t="str">
        <f>$C$263</f>
        <v>D113005</v>
      </c>
      <c r="B264" s="108" t="s">
        <v>910</v>
      </c>
      <c r="C264" s="73"/>
      <c r="D264" s="109"/>
      <c r="E264" s="12"/>
      <c r="F264" s="71"/>
      <c r="G264" s="71"/>
      <c r="H264" s="71"/>
      <c r="I264" s="72">
        <f t="shared" si="16"/>
      </c>
      <c r="J264" s="72">
        <f t="shared" si="17"/>
      </c>
      <c r="K264" s="72">
        <f t="shared" si="18"/>
      </c>
    </row>
    <row r="265" spans="2:11" ht="15.75" customHeight="1">
      <c r="B265" s="137"/>
      <c r="C265" s="73"/>
      <c r="D265" s="138"/>
      <c r="E265" s="12"/>
      <c r="F265" s="71"/>
      <c r="G265" s="71"/>
      <c r="H265" s="71"/>
      <c r="I265" s="72">
        <f t="shared" si="16"/>
      </c>
      <c r="J265" s="72">
        <f t="shared" si="17"/>
      </c>
      <c r="K265" s="72">
        <f t="shared" si="18"/>
      </c>
    </row>
    <row r="266" spans="2:11" ht="15.75" customHeight="1">
      <c r="B266" s="151"/>
      <c r="C266" s="152"/>
      <c r="D266" s="87"/>
      <c r="E266" s="10" t="s">
        <v>638</v>
      </c>
      <c r="F266" s="71"/>
      <c r="G266" s="71"/>
      <c r="H266" s="71"/>
      <c r="I266" s="72">
        <f t="shared" si="16"/>
      </c>
      <c r="J266" s="72">
        <f t="shared" si="17"/>
      </c>
      <c r="K266" s="72">
        <f t="shared" si="18"/>
      </c>
    </row>
    <row r="267" spans="2:11" ht="15.75" customHeight="1">
      <c r="B267" s="77" t="s">
        <v>1433</v>
      </c>
      <c r="C267" s="78" t="s">
        <v>639</v>
      </c>
      <c r="D267" s="74" t="s">
        <v>640</v>
      </c>
      <c r="E267" s="85" t="s">
        <v>641</v>
      </c>
      <c r="F267" s="71"/>
      <c r="G267" s="71"/>
      <c r="H267" s="71"/>
      <c r="I267" s="72">
        <f t="shared" si="16"/>
      </c>
      <c r="J267" s="72">
        <f t="shared" si="17"/>
      </c>
      <c r="K267" s="72">
        <f t="shared" si="18"/>
      </c>
    </row>
    <row r="268" spans="2:11" ht="15.75" customHeight="1">
      <c r="B268" s="86"/>
      <c r="C268" s="73"/>
      <c r="D268" s="87"/>
      <c r="E268" s="13"/>
      <c r="F268" s="71"/>
      <c r="G268" s="71"/>
      <c r="H268" s="71"/>
      <c r="I268" s="72">
        <f t="shared" si="16"/>
      </c>
      <c r="J268" s="72">
        <f t="shared" si="17"/>
      </c>
      <c r="K268" s="72">
        <f t="shared" si="18"/>
      </c>
    </row>
    <row r="269" spans="2:11" ht="15.75" customHeight="1">
      <c r="B269" s="86"/>
      <c r="C269" s="73"/>
      <c r="D269" s="87"/>
      <c r="E269" s="7" t="s">
        <v>642</v>
      </c>
      <c r="F269" s="71"/>
      <c r="G269" s="71"/>
      <c r="H269" s="71"/>
      <c r="I269" s="72">
        <f t="shared" si="16"/>
      </c>
      <c r="J269" s="72">
        <f t="shared" si="17"/>
      </c>
      <c r="K269" s="72">
        <f t="shared" si="18"/>
      </c>
    </row>
    <row r="270" spans="2:11" ht="15.75" customHeight="1">
      <c r="B270" s="86"/>
      <c r="C270" s="73"/>
      <c r="D270" s="87"/>
      <c r="E270" s="10" t="s">
        <v>1042</v>
      </c>
      <c r="F270" s="71"/>
      <c r="G270" s="71"/>
      <c r="H270" s="71"/>
      <c r="I270" s="72">
        <f t="shared" si="16"/>
      </c>
      <c r="J270" s="72">
        <f t="shared" si="17"/>
      </c>
      <c r="K270" s="72">
        <f t="shared" si="18"/>
      </c>
    </row>
    <row r="271" spans="2:11" ht="15.75" customHeight="1">
      <c r="B271" s="77"/>
      <c r="C271" s="73"/>
      <c r="D271" s="88"/>
      <c r="E271" s="12" t="s">
        <v>1043</v>
      </c>
      <c r="F271" s="71"/>
      <c r="G271" s="71"/>
      <c r="H271" s="71"/>
      <c r="I271" s="72">
        <f t="shared" si="16"/>
      </c>
      <c r="J271" s="72">
        <f t="shared" si="17"/>
      </c>
      <c r="K271" s="72">
        <f t="shared" si="18"/>
      </c>
    </row>
    <row r="272" spans="2:11" ht="15.75" customHeight="1">
      <c r="B272" s="77" t="s">
        <v>1433</v>
      </c>
      <c r="C272" s="78" t="s">
        <v>639</v>
      </c>
      <c r="D272" s="74" t="s">
        <v>640</v>
      </c>
      <c r="E272" s="85" t="s">
        <v>1066</v>
      </c>
      <c r="F272" s="71"/>
      <c r="G272" s="71"/>
      <c r="H272" s="71"/>
      <c r="I272" s="72">
        <f t="shared" si="16"/>
      </c>
      <c r="J272" s="72">
        <f t="shared" si="17"/>
      </c>
      <c r="K272" s="72">
        <f t="shared" si="18"/>
      </c>
    </row>
    <row r="273" spans="2:11" ht="15.75" customHeight="1">
      <c r="B273" s="86"/>
      <c r="C273" s="73"/>
      <c r="D273" s="87"/>
      <c r="E273" s="13"/>
      <c r="F273" s="71"/>
      <c r="G273" s="71"/>
      <c r="H273" s="71"/>
      <c r="I273" s="72">
        <f t="shared" si="16"/>
      </c>
      <c r="J273" s="72">
        <f t="shared" si="17"/>
      </c>
      <c r="K273" s="72">
        <f t="shared" si="18"/>
      </c>
    </row>
    <row r="274" spans="2:11" ht="15.75" customHeight="1">
      <c r="B274" s="77" t="s">
        <v>1433</v>
      </c>
      <c r="C274" s="78" t="s">
        <v>643</v>
      </c>
      <c r="D274" s="88" t="s">
        <v>802</v>
      </c>
      <c r="E274" s="12" t="s">
        <v>181</v>
      </c>
      <c r="F274" s="71"/>
      <c r="G274" s="71"/>
      <c r="H274" s="71"/>
      <c r="I274" s="72">
        <f t="shared" si="16"/>
      </c>
      <c r="J274" s="72">
        <f t="shared" si="17"/>
      </c>
      <c r="K274" s="72">
        <f t="shared" si="18"/>
      </c>
    </row>
    <row r="275" spans="1:11" ht="15.75" customHeight="1">
      <c r="A275" s="35" t="str">
        <f>C275</f>
        <v>D123002</v>
      </c>
      <c r="B275" s="108" t="s">
        <v>182</v>
      </c>
      <c r="C275" s="78" t="s">
        <v>643</v>
      </c>
      <c r="D275" s="88"/>
      <c r="E275" s="12" t="s">
        <v>1438</v>
      </c>
      <c r="F275" s="71"/>
      <c r="G275" s="71"/>
      <c r="H275" s="71"/>
      <c r="I275" s="72">
        <f t="shared" si="16"/>
      </c>
      <c r="J275" s="72">
        <f t="shared" si="17"/>
      </c>
      <c r="K275" s="72">
        <f t="shared" si="18"/>
      </c>
    </row>
    <row r="276" spans="2:11" ht="15.75" customHeight="1">
      <c r="B276" s="108"/>
      <c r="C276" s="78"/>
      <c r="D276" s="88"/>
      <c r="E276" s="12"/>
      <c r="F276" s="71"/>
      <c r="G276" s="71"/>
      <c r="H276" s="71"/>
      <c r="I276" s="72">
        <f t="shared" si="16"/>
      </c>
      <c r="J276" s="72">
        <f t="shared" si="17"/>
      </c>
      <c r="K276" s="72">
        <f t="shared" si="18"/>
      </c>
    </row>
    <row r="277" spans="2:11" ht="15.75" customHeight="1" thickBot="1">
      <c r="B277" s="108"/>
      <c r="C277" s="78"/>
      <c r="D277" s="88"/>
      <c r="E277" s="12"/>
      <c r="F277" s="71"/>
      <c r="G277" s="71"/>
      <c r="H277" s="71"/>
      <c r="I277" s="72">
        <f t="shared" si="16"/>
      </c>
      <c r="J277" s="72">
        <f t="shared" si="17"/>
      </c>
      <c r="K277" s="72">
        <f t="shared" si="18"/>
      </c>
    </row>
    <row r="278" spans="1:11" s="140" customFormat="1" ht="15.75" customHeight="1" thickBot="1">
      <c r="A278" s="118"/>
      <c r="B278" s="119"/>
      <c r="C278" s="139"/>
      <c r="D278" s="121"/>
      <c r="E278" s="122" t="s">
        <v>920</v>
      </c>
      <c r="F278" s="123">
        <f>SUM(F230:F277)</f>
        <v>7871511469.06</v>
      </c>
      <c r="G278" s="123">
        <f>SUM(G230:G277)</f>
        <v>7970160465.780655</v>
      </c>
      <c r="H278" s="123">
        <f>SUM(H230:H277)</f>
        <v>8725943541.312918</v>
      </c>
      <c r="I278" s="124">
        <f t="shared" si="16"/>
        <v>0.012532408433679757</v>
      </c>
      <c r="J278" s="124">
        <f t="shared" si="17"/>
        <v>0.10854739596218257</v>
      </c>
      <c r="K278" s="124">
        <f t="shared" si="18"/>
        <v>0.09482658207161153</v>
      </c>
    </row>
    <row r="279" spans="2:11" ht="15.75">
      <c r="B279" s="153"/>
      <c r="C279" s="73"/>
      <c r="D279" s="153"/>
      <c r="E279" s="153"/>
      <c r="F279" s="127"/>
      <c r="G279" s="127"/>
      <c r="H279" s="127"/>
      <c r="I279" s="50"/>
      <c r="J279" s="50"/>
      <c r="K279" s="50"/>
    </row>
    <row r="280" spans="1:11" s="44" customFormat="1" ht="18.75">
      <c r="A280" s="35"/>
      <c r="B280" s="52" t="s">
        <v>918</v>
      </c>
      <c r="C280" s="154"/>
      <c r="D280" s="52"/>
      <c r="E280" s="52"/>
      <c r="F280" s="127"/>
      <c r="G280" s="127"/>
      <c r="H280" s="127"/>
      <c r="I280" s="50"/>
      <c r="J280" s="50"/>
      <c r="K280" s="50"/>
    </row>
    <row r="281" spans="2:11" ht="18.75">
      <c r="B281" s="52" t="s">
        <v>61</v>
      </c>
      <c r="C281" s="154"/>
      <c r="D281" s="52"/>
      <c r="E281" s="52"/>
      <c r="F281" s="127"/>
      <c r="G281" s="127"/>
      <c r="H281" s="127"/>
      <c r="I281" s="50"/>
      <c r="J281" s="50"/>
      <c r="K281" s="50"/>
    </row>
    <row r="282" spans="3:11" ht="18.75">
      <c r="C282" s="154"/>
      <c r="D282" s="52"/>
      <c r="E282" s="52"/>
      <c r="F282" s="127"/>
      <c r="G282" s="127"/>
      <c r="H282" s="127"/>
      <c r="I282" s="50"/>
      <c r="J282" s="50"/>
      <c r="K282" s="50"/>
    </row>
    <row r="283" spans="2:11" ht="16.5" thickBot="1">
      <c r="B283" s="51"/>
      <c r="C283" s="73"/>
      <c r="D283" s="51"/>
      <c r="E283" s="52"/>
      <c r="F283" s="127"/>
      <c r="G283" s="127"/>
      <c r="H283" s="53" t="s">
        <v>1280</v>
      </c>
      <c r="I283" s="50"/>
      <c r="J283" s="50"/>
      <c r="K283" s="50"/>
    </row>
    <row r="284" spans="2:11" ht="15.75">
      <c r="B284" s="55"/>
      <c r="C284" s="56"/>
      <c r="D284" s="57"/>
      <c r="E284" s="1"/>
      <c r="F284" s="1" t="s">
        <v>1281</v>
      </c>
      <c r="G284" s="1" t="s">
        <v>1241</v>
      </c>
      <c r="H284" s="1" t="s">
        <v>1429</v>
      </c>
      <c r="I284" s="58" t="s">
        <v>1312</v>
      </c>
      <c r="J284" s="58" t="s">
        <v>1312</v>
      </c>
      <c r="K284" s="58" t="s">
        <v>1312</v>
      </c>
    </row>
    <row r="285" spans="2:11" ht="15.75">
      <c r="B285" s="59" t="s">
        <v>1450</v>
      </c>
      <c r="C285" s="60"/>
      <c r="D285" s="61"/>
      <c r="E285" s="2" t="s">
        <v>1080</v>
      </c>
      <c r="F285" s="2">
        <v>2005</v>
      </c>
      <c r="G285" s="2">
        <v>2005</v>
      </c>
      <c r="H285" s="2">
        <v>2006</v>
      </c>
      <c r="I285" s="34"/>
      <c r="J285" s="34"/>
      <c r="K285" s="34"/>
    </row>
    <row r="286" spans="2:11" ht="16.5" thickBot="1">
      <c r="B286" s="62"/>
      <c r="C286" s="73"/>
      <c r="D286" s="64"/>
      <c r="E286" s="6"/>
      <c r="F286" s="65" t="s">
        <v>1131</v>
      </c>
      <c r="G286" s="65" t="s">
        <v>1129</v>
      </c>
      <c r="H286" s="65" t="s">
        <v>1130</v>
      </c>
      <c r="I286" s="66" t="s">
        <v>1430</v>
      </c>
      <c r="J286" s="66" t="s">
        <v>1431</v>
      </c>
      <c r="K286" s="66" t="s">
        <v>1432</v>
      </c>
    </row>
    <row r="287" spans="2:11" ht="15.75">
      <c r="B287" s="155"/>
      <c r="C287" s="68"/>
      <c r="D287" s="156"/>
      <c r="E287" s="157"/>
      <c r="F287" s="71"/>
      <c r="G287" s="71"/>
      <c r="H287" s="71"/>
      <c r="I287" s="72">
        <f aca="true" t="shared" si="19" ref="I287:I350">IF(F287=0,"",(G287-F287)/F287)</f>
      </c>
      <c r="J287" s="72">
        <f aca="true" t="shared" si="20" ref="J287:J350">IF(F287=0,"",(H287-F287)/F287)</f>
      </c>
      <c r="K287" s="72">
        <f aca="true" t="shared" si="21" ref="K287:K350">IF(G287=0,"",(H287-G287)/G287)</f>
      </c>
    </row>
    <row r="288" spans="2:11" ht="15.75">
      <c r="B288" s="30"/>
      <c r="C288" s="73"/>
      <c r="D288" s="74"/>
      <c r="E288" s="7" t="s">
        <v>1291</v>
      </c>
      <c r="F288" s="71"/>
      <c r="G288" s="71"/>
      <c r="H288" s="71"/>
      <c r="I288" s="72">
        <f t="shared" si="19"/>
      </c>
      <c r="J288" s="72">
        <f t="shared" si="20"/>
      </c>
      <c r="K288" s="72">
        <f t="shared" si="21"/>
      </c>
    </row>
    <row r="289" spans="2:11" ht="15.75">
      <c r="B289" s="158"/>
      <c r="C289" s="73"/>
      <c r="D289" s="159"/>
      <c r="E289" s="8"/>
      <c r="F289" s="71"/>
      <c r="G289" s="71"/>
      <c r="H289" s="71"/>
      <c r="I289" s="72">
        <f t="shared" si="19"/>
      </c>
      <c r="J289" s="72">
        <f t="shared" si="20"/>
      </c>
      <c r="K289" s="72">
        <f t="shared" si="21"/>
      </c>
    </row>
    <row r="290" spans="2:11" ht="15.75">
      <c r="B290" s="158"/>
      <c r="C290" s="73"/>
      <c r="D290" s="159"/>
      <c r="E290" s="9" t="s">
        <v>357</v>
      </c>
      <c r="F290" s="71"/>
      <c r="G290" s="71"/>
      <c r="H290" s="71"/>
      <c r="I290" s="72">
        <f t="shared" si="19"/>
      </c>
      <c r="J290" s="72">
        <f t="shared" si="20"/>
      </c>
      <c r="K290" s="72">
        <f t="shared" si="21"/>
      </c>
    </row>
    <row r="291" spans="2:11" ht="15.75">
      <c r="B291" s="158"/>
      <c r="C291" s="73"/>
      <c r="D291" s="159"/>
      <c r="E291" s="8"/>
      <c r="F291" s="71"/>
      <c r="G291" s="71"/>
      <c r="H291" s="71"/>
      <c r="I291" s="72">
        <f t="shared" si="19"/>
      </c>
      <c r="J291" s="72">
        <f t="shared" si="20"/>
      </c>
      <c r="K291" s="72">
        <f t="shared" si="21"/>
      </c>
    </row>
    <row r="292" spans="2:11" ht="15.75">
      <c r="B292" s="77" t="s">
        <v>1433</v>
      </c>
      <c r="C292" s="78" t="s">
        <v>183</v>
      </c>
      <c r="D292" s="160" t="s">
        <v>36</v>
      </c>
      <c r="E292" s="10" t="s">
        <v>36</v>
      </c>
      <c r="F292" s="71"/>
      <c r="G292" s="71"/>
      <c r="H292" s="71"/>
      <c r="I292" s="72">
        <f t="shared" si="19"/>
      </c>
      <c r="J292" s="72">
        <f t="shared" si="20"/>
      </c>
      <c r="K292" s="72">
        <f t="shared" si="21"/>
      </c>
    </row>
    <row r="293" spans="1:11" ht="15.75">
      <c r="A293" s="35" t="str">
        <f>$C$292</f>
        <v>D211001</v>
      </c>
      <c r="B293" s="108" t="s">
        <v>184</v>
      </c>
      <c r="C293" s="78"/>
      <c r="D293" s="161"/>
      <c r="E293" s="80"/>
      <c r="F293" s="71"/>
      <c r="G293" s="71"/>
      <c r="H293" s="71"/>
      <c r="I293" s="72">
        <f t="shared" si="19"/>
      </c>
      <c r="J293" s="72">
        <f t="shared" si="20"/>
      </c>
      <c r="K293" s="72">
        <f t="shared" si="21"/>
      </c>
    </row>
    <row r="294" spans="1:11" ht="15">
      <c r="A294" s="35" t="str">
        <f aca="true" t="shared" si="22" ref="A294:A314">$C$292</f>
        <v>D211001</v>
      </c>
      <c r="B294" s="162" t="s">
        <v>37</v>
      </c>
      <c r="C294" s="73"/>
      <c r="D294" s="163"/>
      <c r="E294" s="164" t="s">
        <v>1033</v>
      </c>
      <c r="F294" s="71"/>
      <c r="G294" s="71"/>
      <c r="H294" s="71"/>
      <c r="I294" s="72">
        <f t="shared" si="19"/>
      </c>
      <c r="J294" s="72">
        <f t="shared" si="20"/>
      </c>
      <c r="K294" s="72">
        <f t="shared" si="21"/>
      </c>
    </row>
    <row r="295" spans="1:11" ht="15">
      <c r="A295" s="35" t="str">
        <f t="shared" si="22"/>
        <v>D211001</v>
      </c>
      <c r="B295" s="162" t="s">
        <v>1034</v>
      </c>
      <c r="C295" s="73"/>
      <c r="D295" s="163"/>
      <c r="E295" s="164" t="s">
        <v>570</v>
      </c>
      <c r="F295" s="71"/>
      <c r="G295" s="71"/>
      <c r="H295" s="71"/>
      <c r="I295" s="72">
        <f t="shared" si="19"/>
      </c>
      <c r="J295" s="72">
        <f t="shared" si="20"/>
      </c>
      <c r="K295" s="72">
        <f t="shared" si="21"/>
      </c>
    </row>
    <row r="296" spans="1:11" ht="15">
      <c r="A296" s="35" t="str">
        <f t="shared" si="22"/>
        <v>D211001</v>
      </c>
      <c r="B296" s="162" t="s">
        <v>571</v>
      </c>
      <c r="C296" s="73"/>
      <c r="D296" s="163"/>
      <c r="E296" s="164" t="s">
        <v>1072</v>
      </c>
      <c r="F296" s="71"/>
      <c r="G296" s="71"/>
      <c r="H296" s="71"/>
      <c r="I296" s="72">
        <f t="shared" si="19"/>
      </c>
      <c r="J296" s="72">
        <f t="shared" si="20"/>
      </c>
      <c r="K296" s="72">
        <f t="shared" si="21"/>
      </c>
    </row>
    <row r="297" spans="1:11" ht="15">
      <c r="A297" s="35" t="str">
        <f t="shared" si="22"/>
        <v>D211001</v>
      </c>
      <c r="B297" s="162" t="s">
        <v>740</v>
      </c>
      <c r="C297" s="73"/>
      <c r="D297" s="163"/>
      <c r="E297" s="164" t="s">
        <v>741</v>
      </c>
      <c r="F297" s="71"/>
      <c r="G297" s="71"/>
      <c r="H297" s="71"/>
      <c r="I297" s="72">
        <f t="shared" si="19"/>
      </c>
      <c r="J297" s="72">
        <f t="shared" si="20"/>
      </c>
      <c r="K297" s="72">
        <f t="shared" si="21"/>
      </c>
    </row>
    <row r="298" spans="1:11" ht="15">
      <c r="A298" s="35" t="str">
        <f t="shared" si="22"/>
        <v>D211001</v>
      </c>
      <c r="B298" s="162" t="s">
        <v>742</v>
      </c>
      <c r="C298" s="73"/>
      <c r="D298" s="163"/>
      <c r="E298" s="164" t="s">
        <v>743</v>
      </c>
      <c r="F298" s="71"/>
      <c r="G298" s="71"/>
      <c r="H298" s="71"/>
      <c r="I298" s="72">
        <f t="shared" si="19"/>
      </c>
      <c r="J298" s="72">
        <f t="shared" si="20"/>
      </c>
      <c r="K298" s="72">
        <f t="shared" si="21"/>
      </c>
    </row>
    <row r="299" spans="1:11" ht="15">
      <c r="A299" s="35" t="str">
        <f t="shared" si="22"/>
        <v>D211001</v>
      </c>
      <c r="B299" s="162" t="s">
        <v>744</v>
      </c>
      <c r="C299" s="73"/>
      <c r="D299" s="163"/>
      <c r="E299" s="164" t="s">
        <v>555</v>
      </c>
      <c r="F299" s="71"/>
      <c r="G299" s="71"/>
      <c r="H299" s="71"/>
      <c r="I299" s="72">
        <f t="shared" si="19"/>
      </c>
      <c r="J299" s="72">
        <f t="shared" si="20"/>
      </c>
      <c r="K299" s="72">
        <f t="shared" si="21"/>
      </c>
    </row>
    <row r="300" spans="1:11" ht="15">
      <c r="A300" s="35" t="str">
        <f t="shared" si="22"/>
        <v>D211001</v>
      </c>
      <c r="B300" s="162" t="s">
        <v>556</v>
      </c>
      <c r="C300" s="73"/>
      <c r="D300" s="163"/>
      <c r="E300" s="164" t="s">
        <v>557</v>
      </c>
      <c r="F300" s="71"/>
      <c r="G300" s="71"/>
      <c r="H300" s="71"/>
      <c r="I300" s="72">
        <f t="shared" si="19"/>
      </c>
      <c r="J300" s="72">
        <f t="shared" si="20"/>
      </c>
      <c r="K300" s="72">
        <f t="shared" si="21"/>
      </c>
    </row>
    <row r="301" spans="1:11" ht="15">
      <c r="A301" s="35" t="str">
        <f t="shared" si="22"/>
        <v>D211001</v>
      </c>
      <c r="B301" s="162" t="s">
        <v>558</v>
      </c>
      <c r="C301" s="73"/>
      <c r="D301" s="163"/>
      <c r="E301" s="164" t="s">
        <v>559</v>
      </c>
      <c r="F301" s="71"/>
      <c r="G301" s="71"/>
      <c r="H301" s="71"/>
      <c r="I301" s="72">
        <f t="shared" si="19"/>
      </c>
      <c r="J301" s="72">
        <f t="shared" si="20"/>
      </c>
      <c r="K301" s="72">
        <f t="shared" si="21"/>
      </c>
    </row>
    <row r="302" spans="1:11" ht="15">
      <c r="A302" s="35" t="str">
        <f t="shared" si="22"/>
        <v>D211001</v>
      </c>
      <c r="B302" s="162" t="s">
        <v>560</v>
      </c>
      <c r="C302" s="73"/>
      <c r="D302" s="163"/>
      <c r="E302" s="164" t="s">
        <v>1501</v>
      </c>
      <c r="F302" s="71"/>
      <c r="G302" s="71"/>
      <c r="H302" s="71"/>
      <c r="I302" s="72">
        <f t="shared" si="19"/>
      </c>
      <c r="J302" s="72">
        <f t="shared" si="20"/>
      </c>
      <c r="K302" s="72">
        <f t="shared" si="21"/>
      </c>
    </row>
    <row r="303" spans="1:11" ht="15">
      <c r="A303" s="35" t="str">
        <f t="shared" si="22"/>
        <v>D211001</v>
      </c>
      <c r="B303" s="162" t="s">
        <v>113</v>
      </c>
      <c r="C303" s="73"/>
      <c r="D303" s="163"/>
      <c r="E303" s="164" t="s">
        <v>114</v>
      </c>
      <c r="F303" s="71"/>
      <c r="G303" s="71"/>
      <c r="H303" s="71"/>
      <c r="I303" s="72">
        <f t="shared" si="19"/>
      </c>
      <c r="J303" s="72">
        <f t="shared" si="20"/>
      </c>
      <c r="K303" s="72">
        <f t="shared" si="21"/>
      </c>
    </row>
    <row r="304" spans="1:11" ht="15">
      <c r="A304" s="35" t="str">
        <f t="shared" si="22"/>
        <v>D211001</v>
      </c>
      <c r="B304" s="162" t="s">
        <v>115</v>
      </c>
      <c r="C304" s="73"/>
      <c r="D304" s="163"/>
      <c r="E304" s="164" t="s">
        <v>116</v>
      </c>
      <c r="F304" s="71"/>
      <c r="G304" s="71"/>
      <c r="H304" s="71"/>
      <c r="I304" s="72">
        <f t="shared" si="19"/>
      </c>
      <c r="J304" s="72">
        <f t="shared" si="20"/>
      </c>
      <c r="K304" s="72">
        <f t="shared" si="21"/>
      </c>
    </row>
    <row r="305" spans="1:11" ht="15">
      <c r="A305" s="35" t="str">
        <f t="shared" si="22"/>
        <v>D211001</v>
      </c>
      <c r="B305" s="162" t="s">
        <v>1259</v>
      </c>
      <c r="C305" s="73"/>
      <c r="D305" s="163"/>
      <c r="E305" s="164" t="s">
        <v>722</v>
      </c>
      <c r="F305" s="71"/>
      <c r="G305" s="71"/>
      <c r="H305" s="71"/>
      <c r="I305" s="72">
        <f t="shared" si="19"/>
      </c>
      <c r="J305" s="72">
        <f t="shared" si="20"/>
      </c>
      <c r="K305" s="72">
        <f t="shared" si="21"/>
      </c>
    </row>
    <row r="306" spans="1:11" ht="15">
      <c r="A306" s="35" t="str">
        <f t="shared" si="22"/>
        <v>D211001</v>
      </c>
      <c r="B306" s="162" t="s">
        <v>723</v>
      </c>
      <c r="C306" s="73"/>
      <c r="D306" s="163"/>
      <c r="E306" s="164" t="s">
        <v>724</v>
      </c>
      <c r="F306" s="71"/>
      <c r="G306" s="71"/>
      <c r="H306" s="71"/>
      <c r="I306" s="72">
        <f t="shared" si="19"/>
      </c>
      <c r="J306" s="72">
        <f t="shared" si="20"/>
      </c>
      <c r="K306" s="72">
        <f t="shared" si="21"/>
      </c>
    </row>
    <row r="307" spans="1:11" ht="15">
      <c r="A307" s="35" t="str">
        <f t="shared" si="22"/>
        <v>D211001</v>
      </c>
      <c r="B307" s="162" t="s">
        <v>725</v>
      </c>
      <c r="C307" s="73"/>
      <c r="D307" s="163"/>
      <c r="E307" s="164" t="s">
        <v>726</v>
      </c>
      <c r="F307" s="71"/>
      <c r="G307" s="71"/>
      <c r="H307" s="71"/>
      <c r="I307" s="72">
        <f t="shared" si="19"/>
      </c>
      <c r="J307" s="72">
        <f t="shared" si="20"/>
      </c>
      <c r="K307" s="72">
        <f t="shared" si="21"/>
      </c>
    </row>
    <row r="308" spans="1:11" ht="15">
      <c r="A308" s="35" t="str">
        <f t="shared" si="22"/>
        <v>D211001</v>
      </c>
      <c r="B308" s="162" t="s">
        <v>727</v>
      </c>
      <c r="C308" s="73"/>
      <c r="D308" s="163"/>
      <c r="E308" s="164" t="s">
        <v>1156</v>
      </c>
      <c r="F308" s="71"/>
      <c r="G308" s="71"/>
      <c r="H308" s="71"/>
      <c r="I308" s="72">
        <f t="shared" si="19"/>
      </c>
      <c r="J308" s="72">
        <f t="shared" si="20"/>
      </c>
      <c r="K308" s="72">
        <f t="shared" si="21"/>
      </c>
    </row>
    <row r="309" spans="1:11" ht="15">
      <c r="A309" s="35" t="str">
        <f t="shared" si="22"/>
        <v>D211001</v>
      </c>
      <c r="B309" s="162" t="s">
        <v>1157</v>
      </c>
      <c r="C309" s="73"/>
      <c r="D309" s="163"/>
      <c r="E309" s="164" t="s">
        <v>1158</v>
      </c>
      <c r="F309" s="71"/>
      <c r="G309" s="71"/>
      <c r="H309" s="71"/>
      <c r="I309" s="72">
        <f t="shared" si="19"/>
      </c>
      <c r="J309" s="72">
        <f t="shared" si="20"/>
      </c>
      <c r="K309" s="72">
        <f t="shared" si="21"/>
      </c>
    </row>
    <row r="310" spans="1:11" ht="15">
      <c r="A310" s="35" t="str">
        <f t="shared" si="22"/>
        <v>D211001</v>
      </c>
      <c r="B310" s="162" t="s">
        <v>22</v>
      </c>
      <c r="C310" s="73"/>
      <c r="D310" s="163"/>
      <c r="E310" s="164" t="s">
        <v>1556</v>
      </c>
      <c r="F310" s="71"/>
      <c r="G310" s="71"/>
      <c r="H310" s="71"/>
      <c r="I310" s="72">
        <f t="shared" si="19"/>
      </c>
      <c r="J310" s="72">
        <f t="shared" si="20"/>
      </c>
      <c r="K310" s="72">
        <f t="shared" si="21"/>
      </c>
    </row>
    <row r="311" spans="1:11" ht="15">
      <c r="A311" s="35" t="str">
        <f t="shared" si="22"/>
        <v>D211001</v>
      </c>
      <c r="B311" s="162" t="s">
        <v>894</v>
      </c>
      <c r="C311" s="73"/>
      <c r="D311" s="163"/>
      <c r="E311" s="164" t="s">
        <v>895</v>
      </c>
      <c r="F311" s="71"/>
      <c r="G311" s="71"/>
      <c r="H311" s="71"/>
      <c r="I311" s="72">
        <f t="shared" si="19"/>
      </c>
      <c r="J311" s="72">
        <f t="shared" si="20"/>
      </c>
      <c r="K311" s="72">
        <f t="shared" si="21"/>
      </c>
    </row>
    <row r="312" spans="1:11" ht="15">
      <c r="A312" s="35" t="str">
        <f t="shared" si="22"/>
        <v>D211001</v>
      </c>
      <c r="B312" s="162" t="s">
        <v>896</v>
      </c>
      <c r="C312" s="73"/>
      <c r="D312" s="163"/>
      <c r="E312" s="164" t="s">
        <v>897</v>
      </c>
      <c r="F312" s="71"/>
      <c r="G312" s="71"/>
      <c r="H312" s="71"/>
      <c r="I312" s="72">
        <f t="shared" si="19"/>
      </c>
      <c r="J312" s="72">
        <f t="shared" si="20"/>
      </c>
      <c r="K312" s="72">
        <f t="shared" si="21"/>
      </c>
    </row>
    <row r="313" spans="1:11" ht="15">
      <c r="A313" s="35" t="str">
        <f t="shared" si="22"/>
        <v>D211001</v>
      </c>
      <c r="B313" s="162" t="s">
        <v>1159</v>
      </c>
      <c r="C313" s="73"/>
      <c r="D313" s="163"/>
      <c r="E313" s="164" t="s">
        <v>1160</v>
      </c>
      <c r="F313" s="71"/>
      <c r="G313" s="71"/>
      <c r="H313" s="71"/>
      <c r="I313" s="72">
        <f t="shared" si="19"/>
      </c>
      <c r="J313" s="72">
        <f t="shared" si="20"/>
      </c>
      <c r="K313" s="72">
        <f t="shared" si="21"/>
      </c>
    </row>
    <row r="314" spans="1:11" ht="15">
      <c r="A314" s="35" t="str">
        <f t="shared" si="22"/>
        <v>D211001</v>
      </c>
      <c r="B314" s="162" t="s">
        <v>1161</v>
      </c>
      <c r="C314" s="73"/>
      <c r="D314" s="163"/>
      <c r="E314" s="164" t="s">
        <v>713</v>
      </c>
      <c r="F314" s="71"/>
      <c r="G314" s="71"/>
      <c r="H314" s="71"/>
      <c r="I314" s="72">
        <f t="shared" si="19"/>
      </c>
      <c r="J314" s="72">
        <f t="shared" si="20"/>
      </c>
      <c r="K314" s="72">
        <f t="shared" si="21"/>
      </c>
    </row>
    <row r="315" spans="2:11" ht="15.75">
      <c r="B315" s="81"/>
      <c r="C315" s="73"/>
      <c r="D315" s="82"/>
      <c r="E315" s="11"/>
      <c r="F315" s="71"/>
      <c r="G315" s="71"/>
      <c r="H315" s="71"/>
      <c r="I315" s="72">
        <f t="shared" si="19"/>
      </c>
      <c r="J315" s="72">
        <f t="shared" si="20"/>
      </c>
      <c r="K315" s="72">
        <f t="shared" si="21"/>
      </c>
    </row>
    <row r="316" spans="2:11" ht="15.75">
      <c r="B316" s="77" t="s">
        <v>1433</v>
      </c>
      <c r="C316" s="78" t="s">
        <v>185</v>
      </c>
      <c r="D316" s="160" t="s">
        <v>1373</v>
      </c>
      <c r="E316" s="10" t="s">
        <v>1239</v>
      </c>
      <c r="F316" s="71"/>
      <c r="G316" s="71"/>
      <c r="H316" s="71"/>
      <c r="I316" s="72">
        <f t="shared" si="19"/>
      </c>
      <c r="J316" s="72">
        <f t="shared" si="20"/>
      </c>
      <c r="K316" s="72">
        <f t="shared" si="21"/>
      </c>
    </row>
    <row r="317" spans="2:11" ht="15.75">
      <c r="B317" s="165"/>
      <c r="C317" s="73"/>
      <c r="D317" s="161"/>
      <c r="E317" s="11"/>
      <c r="F317" s="71"/>
      <c r="G317" s="71"/>
      <c r="H317" s="71"/>
      <c r="I317" s="72">
        <f t="shared" si="19"/>
      </c>
      <c r="J317" s="72">
        <f t="shared" si="20"/>
      </c>
      <c r="K317" s="72">
        <f t="shared" si="21"/>
      </c>
    </row>
    <row r="318" spans="2:11" ht="15">
      <c r="B318" s="162" t="s">
        <v>576</v>
      </c>
      <c r="C318" s="73"/>
      <c r="D318" s="163"/>
      <c r="E318" s="164" t="s">
        <v>63</v>
      </c>
      <c r="F318" s="71"/>
      <c r="G318" s="71"/>
      <c r="H318" s="71"/>
      <c r="I318" s="72">
        <f t="shared" si="19"/>
      </c>
      <c r="J318" s="72">
        <f t="shared" si="20"/>
      </c>
      <c r="K318" s="72">
        <f t="shared" si="21"/>
      </c>
    </row>
    <row r="319" spans="2:11" ht="15">
      <c r="B319" s="162" t="s">
        <v>64</v>
      </c>
      <c r="C319" s="73"/>
      <c r="D319" s="163"/>
      <c r="E319" s="164" t="s">
        <v>65</v>
      </c>
      <c r="F319" s="71"/>
      <c r="G319" s="71"/>
      <c r="H319" s="71"/>
      <c r="I319" s="72">
        <f t="shared" si="19"/>
      </c>
      <c r="J319" s="72">
        <f t="shared" si="20"/>
      </c>
      <c r="K319" s="72">
        <f t="shared" si="21"/>
      </c>
    </row>
    <row r="320" spans="2:11" ht="15">
      <c r="B320" s="162" t="s">
        <v>1292</v>
      </c>
      <c r="C320" s="73"/>
      <c r="D320" s="163"/>
      <c r="E320" s="164" t="s">
        <v>720</v>
      </c>
      <c r="F320" s="71"/>
      <c r="G320" s="71"/>
      <c r="H320" s="71"/>
      <c r="I320" s="72">
        <f t="shared" si="19"/>
      </c>
      <c r="J320" s="72">
        <f t="shared" si="20"/>
      </c>
      <c r="K320" s="72">
        <f t="shared" si="21"/>
      </c>
    </row>
    <row r="321" spans="2:11" ht="15">
      <c r="B321" s="162" t="s">
        <v>721</v>
      </c>
      <c r="C321" s="73"/>
      <c r="D321" s="163"/>
      <c r="E321" s="164" t="s">
        <v>483</v>
      </c>
      <c r="F321" s="71"/>
      <c r="G321" s="71"/>
      <c r="H321" s="71"/>
      <c r="I321" s="72">
        <f t="shared" si="19"/>
      </c>
      <c r="J321" s="72">
        <f t="shared" si="20"/>
      </c>
      <c r="K321" s="72">
        <f t="shared" si="21"/>
      </c>
    </row>
    <row r="322" spans="2:11" ht="15">
      <c r="B322" s="162" t="s">
        <v>484</v>
      </c>
      <c r="C322" s="73"/>
      <c r="D322" s="163"/>
      <c r="E322" s="164" t="s">
        <v>501</v>
      </c>
      <c r="F322" s="71"/>
      <c r="G322" s="71"/>
      <c r="H322" s="71"/>
      <c r="I322" s="72">
        <f t="shared" si="19"/>
      </c>
      <c r="J322" s="72">
        <f t="shared" si="20"/>
      </c>
      <c r="K322" s="72">
        <f t="shared" si="21"/>
      </c>
    </row>
    <row r="323" spans="2:11" ht="15">
      <c r="B323" s="162"/>
      <c r="C323" s="73"/>
      <c r="D323" s="163"/>
      <c r="E323" s="11"/>
      <c r="F323" s="71"/>
      <c r="G323" s="71"/>
      <c r="H323" s="71"/>
      <c r="I323" s="72">
        <f t="shared" si="19"/>
      </c>
      <c r="J323" s="72">
        <f t="shared" si="20"/>
      </c>
      <c r="K323" s="72">
        <f t="shared" si="21"/>
      </c>
    </row>
    <row r="324" spans="2:11" ht="15.75">
      <c r="B324" s="77" t="s">
        <v>1433</v>
      </c>
      <c r="C324" s="78" t="s">
        <v>1374</v>
      </c>
      <c r="D324" s="160" t="s">
        <v>837</v>
      </c>
      <c r="E324" s="10" t="s">
        <v>1353</v>
      </c>
      <c r="F324" s="71"/>
      <c r="G324" s="71"/>
      <c r="H324" s="71"/>
      <c r="I324" s="72">
        <f t="shared" si="19"/>
      </c>
      <c r="J324" s="72">
        <f t="shared" si="20"/>
      </c>
      <c r="K324" s="72">
        <f t="shared" si="21"/>
      </c>
    </row>
    <row r="325" spans="2:11" ht="15.75">
      <c r="B325" s="165"/>
      <c r="C325" s="73"/>
      <c r="D325" s="161"/>
      <c r="E325" s="11"/>
      <c r="F325" s="71"/>
      <c r="G325" s="71"/>
      <c r="H325" s="71"/>
      <c r="I325" s="72">
        <f t="shared" si="19"/>
      </c>
      <c r="J325" s="72">
        <f t="shared" si="20"/>
      </c>
      <c r="K325" s="72">
        <f t="shared" si="21"/>
      </c>
    </row>
    <row r="326" spans="2:11" ht="15">
      <c r="B326" s="162" t="s">
        <v>576</v>
      </c>
      <c r="C326" s="73"/>
      <c r="D326" s="163"/>
      <c r="E326" s="164" t="s">
        <v>63</v>
      </c>
      <c r="F326" s="71"/>
      <c r="G326" s="71"/>
      <c r="H326" s="71"/>
      <c r="I326" s="72">
        <f t="shared" si="19"/>
      </c>
      <c r="J326" s="72">
        <f t="shared" si="20"/>
      </c>
      <c r="K326" s="72">
        <f t="shared" si="21"/>
      </c>
    </row>
    <row r="327" spans="2:11" ht="15">
      <c r="B327" s="162" t="s">
        <v>64</v>
      </c>
      <c r="C327" s="73"/>
      <c r="D327" s="163"/>
      <c r="E327" s="164" t="s">
        <v>65</v>
      </c>
      <c r="F327" s="71"/>
      <c r="G327" s="71"/>
      <c r="H327" s="71"/>
      <c r="I327" s="72">
        <f t="shared" si="19"/>
      </c>
      <c r="J327" s="72">
        <f t="shared" si="20"/>
      </c>
      <c r="K327" s="72">
        <f t="shared" si="21"/>
      </c>
    </row>
    <row r="328" spans="2:11" ht="15">
      <c r="B328" s="162" t="s">
        <v>1292</v>
      </c>
      <c r="C328" s="73"/>
      <c r="D328" s="163"/>
      <c r="E328" s="164" t="s">
        <v>720</v>
      </c>
      <c r="F328" s="71"/>
      <c r="G328" s="71"/>
      <c r="H328" s="71"/>
      <c r="I328" s="72">
        <f t="shared" si="19"/>
      </c>
      <c r="J328" s="72">
        <f t="shared" si="20"/>
      </c>
      <c r="K328" s="72">
        <f t="shared" si="21"/>
      </c>
    </row>
    <row r="329" spans="2:11" ht="15">
      <c r="B329" s="162" t="s">
        <v>721</v>
      </c>
      <c r="C329" s="73"/>
      <c r="D329" s="163"/>
      <c r="E329" s="164" t="s">
        <v>483</v>
      </c>
      <c r="F329" s="71"/>
      <c r="G329" s="71"/>
      <c r="H329" s="71"/>
      <c r="I329" s="72">
        <f t="shared" si="19"/>
      </c>
      <c r="J329" s="72">
        <f t="shared" si="20"/>
      </c>
      <c r="K329" s="72">
        <f t="shared" si="21"/>
      </c>
    </row>
    <row r="330" spans="2:11" ht="15">
      <c r="B330" s="162" t="s">
        <v>484</v>
      </c>
      <c r="C330" s="73"/>
      <c r="D330" s="163"/>
      <c r="E330" s="164" t="s">
        <v>501</v>
      </c>
      <c r="F330" s="71"/>
      <c r="G330" s="71"/>
      <c r="H330" s="71"/>
      <c r="I330" s="72">
        <f t="shared" si="19"/>
      </c>
      <c r="J330" s="72">
        <f t="shared" si="20"/>
      </c>
      <c r="K330" s="72">
        <f t="shared" si="21"/>
      </c>
    </row>
    <row r="331" spans="2:11" ht="15.75">
      <c r="B331" s="81"/>
      <c r="C331" s="73"/>
      <c r="D331" s="82"/>
      <c r="E331" s="11"/>
      <c r="F331" s="71"/>
      <c r="G331" s="71"/>
      <c r="H331" s="71"/>
      <c r="I331" s="72">
        <f t="shared" si="19"/>
      </c>
      <c r="J331" s="72">
        <f t="shared" si="20"/>
      </c>
      <c r="K331" s="72">
        <f t="shared" si="21"/>
      </c>
    </row>
    <row r="332" spans="2:11" ht="15.75">
      <c r="B332" s="77" t="s">
        <v>1433</v>
      </c>
      <c r="C332" s="78" t="s">
        <v>838</v>
      </c>
      <c r="D332" s="161" t="s">
        <v>370</v>
      </c>
      <c r="E332" s="10" t="s">
        <v>1354</v>
      </c>
      <c r="F332" s="71"/>
      <c r="G332" s="71"/>
      <c r="H332" s="71"/>
      <c r="I332" s="72">
        <f t="shared" si="19"/>
      </c>
      <c r="J332" s="72">
        <f t="shared" si="20"/>
      </c>
      <c r="K332" s="72">
        <f t="shared" si="21"/>
      </c>
    </row>
    <row r="333" spans="2:11" ht="15">
      <c r="B333" s="105"/>
      <c r="C333" s="73"/>
      <c r="D333" s="106"/>
      <c r="E333" s="11"/>
      <c r="F333" s="71"/>
      <c r="G333" s="71"/>
      <c r="H333" s="71"/>
      <c r="I333" s="72">
        <f t="shared" si="19"/>
      </c>
      <c r="J333" s="72">
        <f t="shared" si="20"/>
      </c>
      <c r="K333" s="72">
        <f t="shared" si="21"/>
      </c>
    </row>
    <row r="334" spans="2:11" ht="15.75">
      <c r="B334" s="77" t="s">
        <v>1433</v>
      </c>
      <c r="C334" s="78" t="s">
        <v>371</v>
      </c>
      <c r="D334" s="115" t="s">
        <v>372</v>
      </c>
      <c r="E334" s="10" t="s">
        <v>1355</v>
      </c>
      <c r="F334" s="71"/>
      <c r="G334" s="71"/>
      <c r="H334" s="71"/>
      <c r="I334" s="72">
        <f t="shared" si="19"/>
      </c>
      <c r="J334" s="72">
        <f t="shared" si="20"/>
      </c>
      <c r="K334" s="72">
        <f t="shared" si="21"/>
      </c>
    </row>
    <row r="335" spans="2:11" ht="15">
      <c r="B335" s="105"/>
      <c r="C335" s="73"/>
      <c r="D335" s="106"/>
      <c r="E335" s="11"/>
      <c r="F335" s="71"/>
      <c r="G335" s="71"/>
      <c r="H335" s="71"/>
      <c r="I335" s="72">
        <f t="shared" si="19"/>
      </c>
      <c r="J335" s="72">
        <f t="shared" si="20"/>
      </c>
      <c r="K335" s="72">
        <f t="shared" si="21"/>
      </c>
    </row>
    <row r="336" spans="2:11" ht="15.75">
      <c r="B336" s="77" t="s">
        <v>1433</v>
      </c>
      <c r="C336" s="78" t="s">
        <v>373</v>
      </c>
      <c r="D336" s="160" t="s">
        <v>898</v>
      </c>
      <c r="E336" s="10" t="s">
        <v>898</v>
      </c>
      <c r="F336" s="71"/>
      <c r="G336" s="71"/>
      <c r="H336" s="71"/>
      <c r="I336" s="72">
        <f t="shared" si="19"/>
      </c>
      <c r="J336" s="72">
        <f t="shared" si="20"/>
      </c>
      <c r="K336" s="72">
        <f t="shared" si="21"/>
      </c>
    </row>
    <row r="337" spans="2:11" ht="15">
      <c r="B337" s="105"/>
      <c r="C337" s="73"/>
      <c r="D337" s="106"/>
      <c r="E337" s="11"/>
      <c r="F337" s="71"/>
      <c r="G337" s="71"/>
      <c r="H337" s="71"/>
      <c r="I337" s="72">
        <f t="shared" si="19"/>
      </c>
      <c r="J337" s="72">
        <f t="shared" si="20"/>
      </c>
      <c r="K337" s="72">
        <f t="shared" si="21"/>
      </c>
    </row>
    <row r="338" spans="1:11" ht="15">
      <c r="A338" s="35" t="str">
        <f>$C$336</f>
        <v>D211005</v>
      </c>
      <c r="B338" s="83" t="s">
        <v>1477</v>
      </c>
      <c r="C338" s="73"/>
      <c r="D338" s="84"/>
      <c r="E338" s="12" t="s">
        <v>1478</v>
      </c>
      <c r="F338" s="71"/>
      <c r="G338" s="71"/>
      <c r="H338" s="71"/>
      <c r="I338" s="72">
        <f t="shared" si="19"/>
      </c>
      <c r="J338" s="72">
        <f t="shared" si="20"/>
      </c>
      <c r="K338" s="72">
        <f t="shared" si="21"/>
      </c>
    </row>
    <row r="339" spans="1:11" ht="15">
      <c r="A339" s="35" t="str">
        <f>$C$336</f>
        <v>D211005</v>
      </c>
      <c r="B339" s="83" t="s">
        <v>1479</v>
      </c>
      <c r="C339" s="73"/>
      <c r="D339" s="84"/>
      <c r="E339" s="12" t="s">
        <v>374</v>
      </c>
      <c r="F339" s="71"/>
      <c r="G339" s="71"/>
      <c r="H339" s="71"/>
      <c r="I339" s="72">
        <f t="shared" si="19"/>
      </c>
      <c r="J339" s="72">
        <f t="shared" si="20"/>
      </c>
      <c r="K339" s="72">
        <f t="shared" si="21"/>
      </c>
    </row>
    <row r="340" spans="2:11" ht="15">
      <c r="B340" s="105"/>
      <c r="C340" s="73"/>
      <c r="D340" s="106"/>
      <c r="E340" s="11"/>
      <c r="F340" s="71"/>
      <c r="G340" s="71"/>
      <c r="H340" s="71"/>
      <c r="I340" s="72">
        <f t="shared" si="19"/>
      </c>
      <c r="J340" s="72">
        <f t="shared" si="20"/>
      </c>
      <c r="K340" s="72">
        <f t="shared" si="21"/>
      </c>
    </row>
    <row r="341" spans="2:11" ht="15.75">
      <c r="B341" s="77" t="s">
        <v>1433</v>
      </c>
      <c r="C341" s="78" t="s">
        <v>375</v>
      </c>
      <c r="D341" s="161" t="s">
        <v>1208</v>
      </c>
      <c r="E341" s="10" t="s">
        <v>1208</v>
      </c>
      <c r="F341" s="71"/>
      <c r="G341" s="71"/>
      <c r="H341" s="71"/>
      <c r="I341" s="72">
        <f t="shared" si="19"/>
      </c>
      <c r="J341" s="72">
        <f t="shared" si="20"/>
      </c>
      <c r="K341" s="72">
        <f t="shared" si="21"/>
      </c>
    </row>
    <row r="342" spans="2:11" ht="15">
      <c r="B342" s="105"/>
      <c r="C342" s="73"/>
      <c r="D342" s="106"/>
      <c r="E342" s="11"/>
      <c r="F342" s="71"/>
      <c r="G342" s="71"/>
      <c r="H342" s="71"/>
      <c r="I342" s="72">
        <f t="shared" si="19"/>
      </c>
      <c r="J342" s="72">
        <f t="shared" si="20"/>
      </c>
      <c r="K342" s="72">
        <f t="shared" si="21"/>
      </c>
    </row>
    <row r="343" spans="1:11" ht="15">
      <c r="A343" s="35" t="str">
        <f>$C$341</f>
        <v>D211006</v>
      </c>
      <c r="B343" s="83" t="s">
        <v>1205</v>
      </c>
      <c r="C343" s="73"/>
      <c r="D343" s="84"/>
      <c r="E343" s="12" t="s">
        <v>61</v>
      </c>
      <c r="F343" s="71"/>
      <c r="G343" s="71"/>
      <c r="H343" s="71"/>
      <c r="I343" s="72">
        <f t="shared" si="19"/>
      </c>
      <c r="J343" s="72">
        <f t="shared" si="20"/>
      </c>
      <c r="K343" s="72">
        <f t="shared" si="21"/>
      </c>
    </row>
    <row r="344" spans="1:11" ht="15">
      <c r="A344" s="35" t="str">
        <f>$C$341</f>
        <v>D211006</v>
      </c>
      <c r="B344" s="83" t="s">
        <v>1206</v>
      </c>
      <c r="C344" s="73"/>
      <c r="D344" s="84"/>
      <c r="E344" s="12" t="s">
        <v>1252</v>
      </c>
      <c r="F344" s="71"/>
      <c r="G344" s="71"/>
      <c r="H344" s="71"/>
      <c r="I344" s="72">
        <f t="shared" si="19"/>
      </c>
      <c r="J344" s="72">
        <f t="shared" si="20"/>
      </c>
      <c r="K344" s="72">
        <f t="shared" si="21"/>
      </c>
    </row>
    <row r="345" spans="2:11" ht="15">
      <c r="B345" s="105"/>
      <c r="C345" s="73"/>
      <c r="D345" s="106"/>
      <c r="E345" s="11"/>
      <c r="F345" s="71"/>
      <c r="G345" s="71"/>
      <c r="H345" s="71"/>
      <c r="I345" s="72">
        <f t="shared" si="19"/>
      </c>
      <c r="J345" s="72">
        <f t="shared" si="20"/>
      </c>
      <c r="K345" s="72">
        <f t="shared" si="21"/>
      </c>
    </row>
    <row r="346" spans="2:11" ht="15.75">
      <c r="B346" s="77" t="s">
        <v>1433</v>
      </c>
      <c r="C346" s="78" t="s">
        <v>376</v>
      </c>
      <c r="D346" s="161" t="s">
        <v>1356</v>
      </c>
      <c r="E346" s="10" t="s">
        <v>1356</v>
      </c>
      <c r="F346" s="71"/>
      <c r="G346" s="71"/>
      <c r="H346" s="71"/>
      <c r="I346" s="72">
        <f t="shared" si="19"/>
      </c>
      <c r="J346" s="72">
        <f t="shared" si="20"/>
      </c>
      <c r="K346" s="72">
        <f t="shared" si="21"/>
      </c>
    </row>
    <row r="347" spans="2:11" ht="15">
      <c r="B347" s="105"/>
      <c r="C347" s="73"/>
      <c r="D347" s="106"/>
      <c r="E347" s="11"/>
      <c r="F347" s="71"/>
      <c r="G347" s="71"/>
      <c r="H347" s="71"/>
      <c r="I347" s="72">
        <f t="shared" si="19"/>
      </c>
      <c r="J347" s="72">
        <f t="shared" si="20"/>
      </c>
      <c r="K347" s="72">
        <f t="shared" si="21"/>
      </c>
    </row>
    <row r="348" spans="1:11" ht="15">
      <c r="A348" s="35" t="str">
        <f aca="true" t="shared" si="23" ref="A348:A353">$C$346</f>
        <v>D211007</v>
      </c>
      <c r="B348" s="83" t="s">
        <v>1527</v>
      </c>
      <c r="C348" s="73"/>
      <c r="D348" s="84"/>
      <c r="E348" s="12" t="s">
        <v>1044</v>
      </c>
      <c r="F348" s="71"/>
      <c r="G348" s="71"/>
      <c r="H348" s="71"/>
      <c r="I348" s="72">
        <f t="shared" si="19"/>
      </c>
      <c r="J348" s="72">
        <f t="shared" si="20"/>
      </c>
      <c r="K348" s="72">
        <f t="shared" si="21"/>
      </c>
    </row>
    <row r="349" spans="1:11" ht="15">
      <c r="A349" s="35" t="str">
        <f t="shared" si="23"/>
        <v>D211007</v>
      </c>
      <c r="B349" s="83" t="s">
        <v>1480</v>
      </c>
      <c r="C349" s="73"/>
      <c r="D349" s="84"/>
      <c r="E349" s="12" t="s">
        <v>1481</v>
      </c>
      <c r="F349" s="71"/>
      <c r="G349" s="71"/>
      <c r="H349" s="71"/>
      <c r="I349" s="72">
        <f t="shared" si="19"/>
      </c>
      <c r="J349" s="72">
        <f t="shared" si="20"/>
      </c>
      <c r="K349" s="72">
        <f t="shared" si="21"/>
      </c>
    </row>
    <row r="350" spans="1:11" ht="15">
      <c r="A350" s="35" t="str">
        <f t="shared" si="23"/>
        <v>D211007</v>
      </c>
      <c r="B350" s="83" t="s">
        <v>513</v>
      </c>
      <c r="C350" s="73"/>
      <c r="D350" s="84"/>
      <c r="E350" s="12" t="s">
        <v>1253</v>
      </c>
      <c r="F350" s="71"/>
      <c r="G350" s="71"/>
      <c r="H350" s="71"/>
      <c r="I350" s="72">
        <f t="shared" si="19"/>
      </c>
      <c r="J350" s="72">
        <f t="shared" si="20"/>
      </c>
      <c r="K350" s="72">
        <f t="shared" si="21"/>
      </c>
    </row>
    <row r="351" spans="1:11" ht="15">
      <c r="A351" s="35" t="str">
        <f t="shared" si="23"/>
        <v>D211007</v>
      </c>
      <c r="B351" s="83" t="s">
        <v>514</v>
      </c>
      <c r="C351" s="73"/>
      <c r="D351" s="84"/>
      <c r="E351" s="12" t="s">
        <v>1254</v>
      </c>
      <c r="F351" s="71"/>
      <c r="G351" s="71"/>
      <c r="H351" s="71"/>
      <c r="I351" s="72">
        <f aca="true" t="shared" si="24" ref="I351:I412">IF(F351=0,"",(G351-F351)/F351)</f>
      </c>
      <c r="J351" s="72">
        <f aca="true" t="shared" si="25" ref="J351:J412">IF(F351=0,"",(H351-F351)/F351)</f>
      </c>
      <c r="K351" s="72">
        <f aca="true" t="shared" si="26" ref="K351:K412">IF(G351=0,"",(H351-G351)/G351)</f>
      </c>
    </row>
    <row r="352" spans="1:11" ht="15">
      <c r="A352" s="35" t="str">
        <f t="shared" si="23"/>
        <v>D211007</v>
      </c>
      <c r="B352" s="83" t="s">
        <v>37</v>
      </c>
      <c r="C352" s="73"/>
      <c r="D352" s="84"/>
      <c r="E352" s="12" t="s">
        <v>1528</v>
      </c>
      <c r="F352" s="71"/>
      <c r="G352" s="71"/>
      <c r="H352" s="71"/>
      <c r="I352" s="72">
        <f t="shared" si="24"/>
      </c>
      <c r="J352" s="72">
        <f t="shared" si="25"/>
      </c>
      <c r="K352" s="72">
        <f t="shared" si="26"/>
      </c>
    </row>
    <row r="353" spans="1:11" ht="15">
      <c r="A353" s="35" t="str">
        <f t="shared" si="23"/>
        <v>D211007</v>
      </c>
      <c r="B353" s="83" t="s">
        <v>1482</v>
      </c>
      <c r="C353" s="73"/>
      <c r="D353" s="84"/>
      <c r="E353" s="12" t="s">
        <v>581</v>
      </c>
      <c r="F353" s="71"/>
      <c r="G353" s="71"/>
      <c r="H353" s="71"/>
      <c r="I353" s="72">
        <f t="shared" si="24"/>
      </c>
      <c r="J353" s="72">
        <f t="shared" si="25"/>
      </c>
      <c r="K353" s="72">
        <f t="shared" si="26"/>
      </c>
    </row>
    <row r="354" spans="2:11" ht="15">
      <c r="B354" s="83"/>
      <c r="C354" s="73"/>
      <c r="D354" s="84"/>
      <c r="E354" s="12"/>
      <c r="F354" s="71"/>
      <c r="G354" s="71"/>
      <c r="H354" s="71"/>
      <c r="I354" s="72">
        <f t="shared" si="24"/>
      </c>
      <c r="J354" s="72">
        <f t="shared" si="25"/>
      </c>
      <c r="K354" s="72">
        <f t="shared" si="26"/>
      </c>
    </row>
    <row r="355" spans="2:11" ht="15.75">
      <c r="B355" s="77" t="s">
        <v>1433</v>
      </c>
      <c r="C355" s="78" t="s">
        <v>1529</v>
      </c>
      <c r="D355" s="115" t="s">
        <v>1045</v>
      </c>
      <c r="E355" s="107" t="s">
        <v>1045</v>
      </c>
      <c r="F355" s="71"/>
      <c r="G355" s="71"/>
      <c r="H355" s="71"/>
      <c r="I355" s="72">
        <f t="shared" si="24"/>
      </c>
      <c r="J355" s="72">
        <f t="shared" si="25"/>
      </c>
      <c r="K355" s="72">
        <f t="shared" si="26"/>
      </c>
    </row>
    <row r="356" spans="1:11" ht="15">
      <c r="A356" s="35" t="str">
        <f>$C$355</f>
        <v>D211008</v>
      </c>
      <c r="B356" s="83" t="s">
        <v>1205</v>
      </c>
      <c r="C356" s="73"/>
      <c r="D356" s="84"/>
      <c r="E356" s="12" t="s">
        <v>192</v>
      </c>
      <c r="F356" s="71"/>
      <c r="G356" s="71"/>
      <c r="H356" s="71"/>
      <c r="I356" s="72">
        <f t="shared" si="24"/>
      </c>
      <c r="J356" s="72">
        <f t="shared" si="25"/>
      </c>
      <c r="K356" s="72">
        <f t="shared" si="26"/>
      </c>
    </row>
    <row r="357" spans="1:11" ht="15">
      <c r="A357" s="35" t="str">
        <f>$C$355</f>
        <v>D211008</v>
      </c>
      <c r="B357" s="83" t="s">
        <v>1046</v>
      </c>
      <c r="C357" s="73"/>
      <c r="D357" s="84"/>
      <c r="E357" s="12" t="s">
        <v>193</v>
      </c>
      <c r="F357" s="71"/>
      <c r="G357" s="71"/>
      <c r="H357" s="71"/>
      <c r="I357" s="72">
        <f t="shared" si="24"/>
      </c>
      <c r="J357" s="72">
        <f t="shared" si="25"/>
      </c>
      <c r="K357" s="72">
        <f t="shared" si="26"/>
      </c>
    </row>
    <row r="358" spans="2:11" ht="15.75">
      <c r="B358" s="81"/>
      <c r="C358" s="73"/>
      <c r="D358" s="82"/>
      <c r="E358" s="11"/>
      <c r="F358" s="71"/>
      <c r="G358" s="71"/>
      <c r="H358" s="71"/>
      <c r="I358" s="72">
        <f t="shared" si="24"/>
      </c>
      <c r="J358" s="72">
        <f t="shared" si="25"/>
      </c>
      <c r="K358" s="72">
        <f t="shared" si="26"/>
      </c>
    </row>
    <row r="359" spans="2:11" ht="15.75">
      <c r="B359" s="77" t="s">
        <v>1433</v>
      </c>
      <c r="C359" s="78" t="s">
        <v>1530</v>
      </c>
      <c r="D359" s="88" t="s">
        <v>1531</v>
      </c>
      <c r="E359" s="10" t="s">
        <v>401</v>
      </c>
      <c r="F359" s="71"/>
      <c r="G359" s="71"/>
      <c r="H359" s="71"/>
      <c r="I359" s="72">
        <f t="shared" si="24"/>
      </c>
      <c r="J359" s="72">
        <f t="shared" si="25"/>
      </c>
      <c r="K359" s="72">
        <f t="shared" si="26"/>
      </c>
    </row>
    <row r="360" spans="2:11" ht="15.75">
      <c r="B360" s="81"/>
      <c r="C360" s="73"/>
      <c r="D360" s="82"/>
      <c r="E360" s="11"/>
      <c r="F360" s="71"/>
      <c r="G360" s="71"/>
      <c r="H360" s="71"/>
      <c r="I360" s="72">
        <f t="shared" si="24"/>
      </c>
      <c r="J360" s="72">
        <f t="shared" si="25"/>
      </c>
      <c r="K360" s="72">
        <f t="shared" si="26"/>
      </c>
    </row>
    <row r="361" spans="2:11" ht="15.75">
      <c r="B361" s="81"/>
      <c r="C361" s="73"/>
      <c r="D361" s="82"/>
      <c r="E361" s="11"/>
      <c r="F361" s="71"/>
      <c r="G361" s="71"/>
      <c r="H361" s="71"/>
      <c r="I361" s="72">
        <f t="shared" si="24"/>
      </c>
      <c r="J361" s="72">
        <f t="shared" si="25"/>
      </c>
      <c r="K361" s="72">
        <f t="shared" si="26"/>
      </c>
    </row>
    <row r="362" spans="2:11" ht="15.75">
      <c r="B362" s="77" t="s">
        <v>1433</v>
      </c>
      <c r="C362" s="78" t="s">
        <v>402</v>
      </c>
      <c r="D362" s="161" t="s">
        <v>403</v>
      </c>
      <c r="E362" s="10" t="s">
        <v>404</v>
      </c>
      <c r="F362" s="71"/>
      <c r="G362" s="71"/>
      <c r="H362" s="71"/>
      <c r="I362" s="72">
        <f t="shared" si="24"/>
      </c>
      <c r="J362" s="72">
        <f t="shared" si="25"/>
      </c>
      <c r="K362" s="72">
        <f t="shared" si="26"/>
      </c>
    </row>
    <row r="363" spans="2:11" ht="15">
      <c r="B363" s="162"/>
      <c r="C363" s="73"/>
      <c r="D363" s="163"/>
      <c r="E363" s="11"/>
      <c r="F363" s="71"/>
      <c r="G363" s="71"/>
      <c r="H363" s="71"/>
      <c r="I363" s="72">
        <f t="shared" si="24"/>
      </c>
      <c r="J363" s="72">
        <f t="shared" si="25"/>
      </c>
      <c r="K363" s="72">
        <f t="shared" si="26"/>
      </c>
    </row>
    <row r="364" spans="2:11" ht="15.75">
      <c r="B364" s="77" t="s">
        <v>1433</v>
      </c>
      <c r="C364" s="78" t="s">
        <v>405</v>
      </c>
      <c r="D364" s="160" t="s">
        <v>974</v>
      </c>
      <c r="E364" s="10" t="s">
        <v>975</v>
      </c>
      <c r="F364" s="71"/>
      <c r="G364" s="71"/>
      <c r="H364" s="71"/>
      <c r="I364" s="72">
        <f t="shared" si="24"/>
      </c>
      <c r="J364" s="72">
        <f t="shared" si="25"/>
      </c>
      <c r="K364" s="72">
        <f t="shared" si="26"/>
      </c>
    </row>
    <row r="365" spans="2:11" ht="15">
      <c r="B365" s="162"/>
      <c r="C365" s="73"/>
      <c r="D365" s="163"/>
      <c r="E365" s="11"/>
      <c r="F365" s="71"/>
      <c r="G365" s="71"/>
      <c r="H365" s="71"/>
      <c r="I365" s="72">
        <f t="shared" si="24"/>
      </c>
      <c r="J365" s="72">
        <f t="shared" si="25"/>
      </c>
      <c r="K365" s="72">
        <f t="shared" si="26"/>
      </c>
    </row>
    <row r="366" spans="2:11" ht="15.75">
      <c r="B366" s="165"/>
      <c r="C366" s="73"/>
      <c r="D366" s="161"/>
      <c r="E366" s="11"/>
      <c r="F366" s="71"/>
      <c r="G366" s="71"/>
      <c r="H366" s="71"/>
      <c r="I366" s="72">
        <f t="shared" si="24"/>
      </c>
      <c r="J366" s="72">
        <f t="shared" si="25"/>
      </c>
      <c r="K366" s="72">
        <f t="shared" si="26"/>
      </c>
    </row>
    <row r="367" spans="2:11" ht="15.75">
      <c r="B367" s="77" t="s">
        <v>1433</v>
      </c>
      <c r="C367" s="78" t="s">
        <v>1447</v>
      </c>
      <c r="D367" s="161" t="s">
        <v>1448</v>
      </c>
      <c r="E367" s="10" t="s">
        <v>1449</v>
      </c>
      <c r="F367" s="71"/>
      <c r="G367" s="71"/>
      <c r="H367" s="71"/>
      <c r="I367" s="72">
        <f t="shared" si="24"/>
      </c>
      <c r="J367" s="72">
        <f t="shared" si="25"/>
      </c>
      <c r="K367" s="72">
        <f t="shared" si="26"/>
      </c>
    </row>
    <row r="368" spans="1:11" ht="15.75" thickBot="1">
      <c r="A368" s="35" t="str">
        <f>C367</f>
        <v>AS0402</v>
      </c>
      <c r="B368" s="166" t="s">
        <v>1047</v>
      </c>
      <c r="C368" s="90"/>
      <c r="D368" s="167"/>
      <c r="E368" s="168"/>
      <c r="F368" s="93"/>
      <c r="G368" s="93"/>
      <c r="H368" s="93"/>
      <c r="I368" s="94">
        <f t="shared" si="24"/>
      </c>
      <c r="J368" s="94">
        <f t="shared" si="25"/>
      </c>
      <c r="K368" s="94">
        <f t="shared" si="26"/>
      </c>
    </row>
    <row r="369" spans="2:11" ht="15.75">
      <c r="B369" s="169"/>
      <c r="C369" s="56"/>
      <c r="D369" s="170"/>
      <c r="E369" s="96"/>
      <c r="F369" s="98"/>
      <c r="G369" s="98"/>
      <c r="H369" s="98"/>
      <c r="I369" s="99">
        <f t="shared" si="24"/>
      </c>
      <c r="J369" s="99">
        <f t="shared" si="25"/>
      </c>
      <c r="K369" s="99">
        <f t="shared" si="26"/>
      </c>
    </row>
    <row r="370" spans="2:11" ht="15.75">
      <c r="B370" s="77" t="s">
        <v>1433</v>
      </c>
      <c r="C370" s="78" t="s">
        <v>583</v>
      </c>
      <c r="D370" s="161" t="s">
        <v>1357</v>
      </c>
      <c r="E370" s="82" t="s">
        <v>1357</v>
      </c>
      <c r="F370" s="71"/>
      <c r="G370" s="71"/>
      <c r="H370" s="71"/>
      <c r="I370" s="72">
        <f t="shared" si="24"/>
      </c>
      <c r="J370" s="72">
        <f t="shared" si="25"/>
      </c>
      <c r="K370" s="72">
        <f t="shared" si="26"/>
      </c>
    </row>
    <row r="371" spans="1:11" ht="15">
      <c r="A371" s="35" t="str">
        <f>C370</f>
        <v>AS0602</v>
      </c>
      <c r="B371" s="162" t="s">
        <v>1358</v>
      </c>
      <c r="C371" s="73"/>
      <c r="D371" s="163"/>
      <c r="E371" s="84"/>
      <c r="F371" s="71"/>
      <c r="G371" s="71"/>
      <c r="H371" s="71"/>
      <c r="I371" s="72">
        <f t="shared" si="24"/>
      </c>
      <c r="J371" s="72">
        <f t="shared" si="25"/>
      </c>
      <c r="K371" s="72">
        <f t="shared" si="26"/>
      </c>
    </row>
    <row r="372" spans="2:11" ht="15.75">
      <c r="B372" s="165"/>
      <c r="C372" s="73"/>
      <c r="D372" s="161"/>
      <c r="E372" s="84"/>
      <c r="F372" s="71"/>
      <c r="G372" s="71"/>
      <c r="H372" s="71"/>
      <c r="I372" s="72">
        <f t="shared" si="24"/>
      </c>
      <c r="J372" s="72">
        <f t="shared" si="25"/>
      </c>
      <c r="K372" s="72">
        <f t="shared" si="26"/>
      </c>
    </row>
    <row r="373" spans="2:11" ht="15.75">
      <c r="B373" s="77" t="s">
        <v>1433</v>
      </c>
      <c r="C373" s="78" t="s">
        <v>584</v>
      </c>
      <c r="D373" s="161" t="s">
        <v>234</v>
      </c>
      <c r="E373" s="82" t="s">
        <v>235</v>
      </c>
      <c r="F373" s="71"/>
      <c r="G373" s="71"/>
      <c r="H373" s="71"/>
      <c r="I373" s="72">
        <f t="shared" si="24"/>
      </c>
      <c r="J373" s="72">
        <f t="shared" si="25"/>
      </c>
      <c r="K373" s="72">
        <f t="shared" si="26"/>
      </c>
    </row>
    <row r="374" spans="1:11" ht="15">
      <c r="A374" s="35" t="str">
        <f>C373</f>
        <v>AS0702</v>
      </c>
      <c r="B374" s="162" t="s">
        <v>18</v>
      </c>
      <c r="C374" s="73"/>
      <c r="D374" s="163"/>
      <c r="E374" s="84"/>
      <c r="F374" s="71"/>
      <c r="G374" s="71"/>
      <c r="H374" s="71"/>
      <c r="I374" s="72">
        <f t="shared" si="24"/>
      </c>
      <c r="J374" s="72">
        <f t="shared" si="25"/>
      </c>
      <c r="K374" s="72">
        <f t="shared" si="26"/>
      </c>
    </row>
    <row r="375" spans="2:11" ht="15.75">
      <c r="B375" s="165"/>
      <c r="C375" s="73"/>
      <c r="D375" s="161"/>
      <c r="E375" s="84"/>
      <c r="F375" s="71"/>
      <c r="G375" s="71"/>
      <c r="H375" s="71"/>
      <c r="I375" s="72">
        <f t="shared" si="24"/>
      </c>
      <c r="J375" s="72">
        <f t="shared" si="25"/>
      </c>
      <c r="K375" s="72">
        <f t="shared" si="26"/>
      </c>
    </row>
    <row r="376" spans="2:11" ht="15.75">
      <c r="B376" s="77" t="s">
        <v>1433</v>
      </c>
      <c r="C376" s="78" t="s">
        <v>236</v>
      </c>
      <c r="D376" s="161" t="s">
        <v>1398</v>
      </c>
      <c r="E376" s="82" t="s">
        <v>1285</v>
      </c>
      <c r="F376" s="71"/>
      <c r="G376" s="71"/>
      <c r="H376" s="71"/>
      <c r="I376" s="72">
        <f t="shared" si="24"/>
      </c>
      <c r="J376" s="72">
        <f t="shared" si="25"/>
      </c>
      <c r="K376" s="72">
        <f t="shared" si="26"/>
      </c>
    </row>
    <row r="377" spans="1:11" ht="15.75">
      <c r="A377" s="35" t="str">
        <f>C376</f>
        <v>AS0902</v>
      </c>
      <c r="B377" s="162" t="s">
        <v>455</v>
      </c>
      <c r="C377" s="78"/>
      <c r="D377" s="161"/>
      <c r="E377" s="82"/>
      <c r="F377" s="71"/>
      <c r="G377" s="71"/>
      <c r="H377" s="71"/>
      <c r="I377" s="72">
        <f t="shared" si="24"/>
      </c>
      <c r="J377" s="72">
        <f t="shared" si="25"/>
      </c>
      <c r="K377" s="72">
        <f t="shared" si="26"/>
      </c>
    </row>
    <row r="378" spans="2:11" ht="15.75">
      <c r="B378" s="165"/>
      <c r="C378" s="73"/>
      <c r="D378" s="161"/>
      <c r="E378" s="84"/>
      <c r="F378" s="71"/>
      <c r="G378" s="71"/>
      <c r="H378" s="71"/>
      <c r="I378" s="72">
        <f t="shared" si="24"/>
      </c>
      <c r="J378" s="72">
        <f t="shared" si="25"/>
      </c>
      <c r="K378" s="72">
        <f t="shared" si="26"/>
      </c>
    </row>
    <row r="379" spans="2:11" ht="15.75">
      <c r="B379" s="77" t="s">
        <v>1433</v>
      </c>
      <c r="C379" s="78" t="s">
        <v>1399</v>
      </c>
      <c r="D379" s="161" t="s">
        <v>456</v>
      </c>
      <c r="E379" s="82" t="s">
        <v>504</v>
      </c>
      <c r="F379" s="71"/>
      <c r="G379" s="71"/>
      <c r="H379" s="71"/>
      <c r="I379" s="72">
        <f t="shared" si="24"/>
      </c>
      <c r="J379" s="72">
        <f t="shared" si="25"/>
      </c>
      <c r="K379" s="72">
        <f t="shared" si="26"/>
      </c>
    </row>
    <row r="380" spans="1:11" ht="15">
      <c r="A380" s="35" t="str">
        <f>C379</f>
        <v>AS1002</v>
      </c>
      <c r="B380" s="162" t="s">
        <v>19</v>
      </c>
      <c r="C380" s="73"/>
      <c r="D380" s="163"/>
      <c r="E380" s="84"/>
      <c r="F380" s="71"/>
      <c r="G380" s="71"/>
      <c r="H380" s="71"/>
      <c r="I380" s="72">
        <f t="shared" si="24"/>
      </c>
      <c r="J380" s="72">
        <f t="shared" si="25"/>
      </c>
      <c r="K380" s="72">
        <f t="shared" si="26"/>
      </c>
    </row>
    <row r="381" spans="2:11" ht="15.75">
      <c r="B381" s="165"/>
      <c r="C381" s="73"/>
      <c r="D381" s="161"/>
      <c r="E381" s="84"/>
      <c r="F381" s="71"/>
      <c r="G381" s="71"/>
      <c r="H381" s="71"/>
      <c r="I381" s="72">
        <f t="shared" si="24"/>
      </c>
      <c r="J381" s="72">
        <f t="shared" si="25"/>
      </c>
      <c r="K381" s="72">
        <f t="shared" si="26"/>
      </c>
    </row>
    <row r="382" spans="2:11" ht="15.75">
      <c r="B382" s="77" t="s">
        <v>1433</v>
      </c>
      <c r="C382" s="78" t="s">
        <v>505</v>
      </c>
      <c r="D382" s="161" t="s">
        <v>506</v>
      </c>
      <c r="E382" s="82" t="s">
        <v>20</v>
      </c>
      <c r="F382" s="71"/>
      <c r="G382" s="71"/>
      <c r="H382" s="71"/>
      <c r="I382" s="72">
        <f t="shared" si="24"/>
      </c>
      <c r="J382" s="72">
        <f t="shared" si="25"/>
      </c>
      <c r="K382" s="72">
        <f t="shared" si="26"/>
      </c>
    </row>
    <row r="383" spans="2:11" ht="15">
      <c r="B383" s="162"/>
      <c r="C383" s="73"/>
      <c r="D383" s="163"/>
      <c r="E383" s="84"/>
      <c r="F383" s="71"/>
      <c r="G383" s="71"/>
      <c r="H383" s="71"/>
      <c r="I383" s="72">
        <f t="shared" si="24"/>
      </c>
      <c r="J383" s="72">
        <f t="shared" si="25"/>
      </c>
      <c r="K383" s="72">
        <f t="shared" si="26"/>
      </c>
    </row>
    <row r="384" spans="2:11" ht="15.75">
      <c r="B384" s="77" t="s">
        <v>1433</v>
      </c>
      <c r="C384" s="78" t="s">
        <v>507</v>
      </c>
      <c r="D384" s="161" t="s">
        <v>135</v>
      </c>
      <c r="E384" s="161" t="s">
        <v>136</v>
      </c>
      <c r="F384" s="71"/>
      <c r="G384" s="71"/>
      <c r="H384" s="71"/>
      <c r="I384" s="72">
        <f t="shared" si="24"/>
      </c>
      <c r="J384" s="72">
        <f t="shared" si="25"/>
      </c>
      <c r="K384" s="72">
        <f t="shared" si="26"/>
      </c>
    </row>
    <row r="385" spans="2:11" ht="15">
      <c r="B385" s="162"/>
      <c r="C385" s="73"/>
      <c r="D385" s="163"/>
      <c r="E385" s="84"/>
      <c r="F385" s="71"/>
      <c r="G385" s="71"/>
      <c r="H385" s="71"/>
      <c r="I385" s="72">
        <f t="shared" si="24"/>
      </c>
      <c r="J385" s="72">
        <f t="shared" si="25"/>
      </c>
      <c r="K385" s="72">
        <f t="shared" si="26"/>
      </c>
    </row>
    <row r="386" spans="2:11" ht="15.75">
      <c r="B386" s="77" t="s">
        <v>1433</v>
      </c>
      <c r="C386" s="78" t="s">
        <v>137</v>
      </c>
      <c r="D386" s="161" t="s">
        <v>216</v>
      </c>
      <c r="E386" s="82" t="s">
        <v>21</v>
      </c>
      <c r="F386" s="71"/>
      <c r="G386" s="71"/>
      <c r="H386" s="71"/>
      <c r="I386" s="72">
        <f t="shared" si="24"/>
      </c>
      <c r="J386" s="72">
        <f t="shared" si="25"/>
      </c>
      <c r="K386" s="72">
        <f t="shared" si="26"/>
      </c>
    </row>
    <row r="387" spans="1:11" s="172" customFormat="1" ht="15">
      <c r="A387" s="171"/>
      <c r="B387" s="162"/>
      <c r="C387" s="73"/>
      <c r="D387" s="163"/>
      <c r="E387" s="84"/>
      <c r="F387" s="71"/>
      <c r="G387" s="71"/>
      <c r="H387" s="71"/>
      <c r="I387" s="72">
        <f t="shared" si="24"/>
      </c>
      <c r="J387" s="72">
        <f t="shared" si="25"/>
      </c>
      <c r="K387" s="72">
        <f t="shared" si="26"/>
      </c>
    </row>
    <row r="388" spans="1:11" s="172" customFormat="1" ht="15.75">
      <c r="A388" s="171"/>
      <c r="B388" s="77" t="s">
        <v>1433</v>
      </c>
      <c r="C388" s="78" t="s">
        <v>217</v>
      </c>
      <c r="D388" s="161" t="s">
        <v>495</v>
      </c>
      <c r="E388" s="173" t="s">
        <v>1599</v>
      </c>
      <c r="F388" s="71"/>
      <c r="G388" s="71"/>
      <c r="H388" s="71"/>
      <c r="I388" s="72">
        <f t="shared" si="24"/>
      </c>
      <c r="J388" s="72">
        <f t="shared" si="25"/>
      </c>
      <c r="K388" s="72">
        <f t="shared" si="26"/>
      </c>
    </row>
    <row r="389" spans="1:11" s="172" customFormat="1" ht="15">
      <c r="A389" s="171"/>
      <c r="B389" s="162"/>
      <c r="C389" s="73"/>
      <c r="D389" s="163"/>
      <c r="E389" s="84"/>
      <c r="F389" s="71"/>
      <c r="G389" s="71"/>
      <c r="H389" s="174">
        <f>IF(E389=0,"",(F389-E389)/E389)</f>
      </c>
      <c r="I389" s="72">
        <f t="shared" si="24"/>
      </c>
      <c r="J389" s="72">
        <f t="shared" si="25"/>
      </c>
      <c r="K389" s="72">
        <f t="shared" si="26"/>
      </c>
    </row>
    <row r="390" spans="1:11" s="172" customFormat="1" ht="15.75">
      <c r="A390" s="171"/>
      <c r="B390" s="77" t="s">
        <v>1433</v>
      </c>
      <c r="C390" s="78" t="s">
        <v>496</v>
      </c>
      <c r="D390" s="161" t="s">
        <v>497</v>
      </c>
      <c r="E390" s="173" t="s">
        <v>1076</v>
      </c>
      <c r="F390" s="71"/>
      <c r="G390" s="71"/>
      <c r="H390" s="71"/>
      <c r="I390" s="72">
        <f t="shared" si="24"/>
      </c>
      <c r="J390" s="72">
        <f t="shared" si="25"/>
      </c>
      <c r="K390" s="72">
        <f t="shared" si="26"/>
      </c>
    </row>
    <row r="391" spans="1:11" s="172" customFormat="1" ht="15.75">
      <c r="A391" s="171"/>
      <c r="B391" s="158"/>
      <c r="C391" s="73"/>
      <c r="D391" s="159"/>
      <c r="E391" s="159"/>
      <c r="F391" s="71"/>
      <c r="G391" s="71"/>
      <c r="H391" s="71"/>
      <c r="I391" s="72">
        <f t="shared" si="24"/>
      </c>
      <c r="J391" s="72">
        <f t="shared" si="25"/>
      </c>
      <c r="K391" s="72">
        <f t="shared" si="26"/>
      </c>
    </row>
    <row r="392" spans="1:11" s="172" customFormat="1" ht="15.75">
      <c r="A392" s="171"/>
      <c r="B392" s="77" t="s">
        <v>1433</v>
      </c>
      <c r="C392" s="78" t="s">
        <v>498</v>
      </c>
      <c r="D392" s="161" t="s">
        <v>1565</v>
      </c>
      <c r="E392" s="173" t="s">
        <v>618</v>
      </c>
      <c r="F392" s="71"/>
      <c r="G392" s="71"/>
      <c r="H392" s="71"/>
      <c r="I392" s="72">
        <f t="shared" si="24"/>
      </c>
      <c r="J392" s="72">
        <f t="shared" si="25"/>
      </c>
      <c r="K392" s="72">
        <f t="shared" si="26"/>
      </c>
    </row>
    <row r="393" spans="1:11" s="172" customFormat="1" ht="15.75">
      <c r="A393" s="171"/>
      <c r="B393" s="158"/>
      <c r="C393" s="73"/>
      <c r="D393" s="159"/>
      <c r="E393" s="159"/>
      <c r="F393" s="71"/>
      <c r="G393" s="71"/>
      <c r="H393" s="71"/>
      <c r="I393" s="72">
        <f t="shared" si="24"/>
      </c>
      <c r="J393" s="72">
        <f t="shared" si="25"/>
      </c>
      <c r="K393" s="72">
        <f t="shared" si="26"/>
      </c>
    </row>
    <row r="394" spans="1:11" s="172" customFormat="1" ht="15.75">
      <c r="A394" s="171"/>
      <c r="B394" s="77" t="s">
        <v>1433</v>
      </c>
      <c r="C394" s="78" t="s">
        <v>619</v>
      </c>
      <c r="D394" s="74" t="s">
        <v>620</v>
      </c>
      <c r="E394" s="10" t="s">
        <v>1566</v>
      </c>
      <c r="F394" s="71"/>
      <c r="G394" s="71"/>
      <c r="H394" s="71"/>
      <c r="I394" s="72">
        <f t="shared" si="24"/>
      </c>
      <c r="J394" s="72">
        <f t="shared" si="25"/>
      </c>
      <c r="K394" s="72">
        <f t="shared" si="26"/>
      </c>
    </row>
    <row r="395" spans="1:11" s="172" customFormat="1" ht="15.75">
      <c r="A395" s="171"/>
      <c r="B395" s="158"/>
      <c r="C395" s="73"/>
      <c r="D395" s="159"/>
      <c r="E395" s="159"/>
      <c r="F395" s="71"/>
      <c r="G395" s="71"/>
      <c r="H395" s="71"/>
      <c r="I395" s="72">
        <f t="shared" si="24"/>
      </c>
      <c r="J395" s="72">
        <f t="shared" si="25"/>
      </c>
      <c r="K395" s="72">
        <f t="shared" si="26"/>
      </c>
    </row>
    <row r="396" spans="2:11" ht="15.75">
      <c r="B396" s="77"/>
      <c r="C396" s="73"/>
      <c r="D396" s="88"/>
      <c r="E396" s="74" t="s">
        <v>466</v>
      </c>
      <c r="F396" s="71"/>
      <c r="G396" s="71"/>
      <c r="H396" s="71"/>
      <c r="I396" s="72">
        <f t="shared" si="24"/>
      </c>
      <c r="J396" s="72">
        <f t="shared" si="25"/>
      </c>
      <c r="K396" s="72">
        <f t="shared" si="26"/>
      </c>
    </row>
    <row r="397" spans="2:11" ht="15.75">
      <c r="B397" s="77"/>
      <c r="C397" s="73"/>
      <c r="D397" s="88"/>
      <c r="E397" s="159"/>
      <c r="F397" s="71"/>
      <c r="G397" s="71"/>
      <c r="H397" s="71"/>
      <c r="I397" s="72">
        <f t="shared" si="24"/>
      </c>
      <c r="J397" s="72">
        <f t="shared" si="25"/>
      </c>
      <c r="K397" s="72">
        <f t="shared" si="26"/>
      </c>
    </row>
    <row r="398" spans="2:11" ht="15.75">
      <c r="B398" s="77"/>
      <c r="C398" s="73"/>
      <c r="D398" s="88"/>
      <c r="E398" s="175" t="s">
        <v>1567</v>
      </c>
      <c r="F398" s="71"/>
      <c r="G398" s="71"/>
      <c r="H398" s="71"/>
      <c r="I398" s="72">
        <f t="shared" si="24"/>
      </c>
      <c r="J398" s="72">
        <f t="shared" si="25"/>
      </c>
      <c r="K398" s="72">
        <f t="shared" si="26"/>
      </c>
    </row>
    <row r="399" spans="2:11" ht="15.75">
      <c r="B399" s="77"/>
      <c r="C399" s="73"/>
      <c r="D399" s="88"/>
      <c r="E399" s="176" t="s">
        <v>1555</v>
      </c>
      <c r="F399" s="71"/>
      <c r="G399" s="71"/>
      <c r="H399" s="71"/>
      <c r="I399" s="72">
        <f t="shared" si="24"/>
      </c>
      <c r="J399" s="72">
        <f t="shared" si="25"/>
      </c>
      <c r="K399" s="72">
        <f t="shared" si="26"/>
      </c>
    </row>
    <row r="400" spans="2:11" ht="15.75">
      <c r="B400" s="77" t="s">
        <v>1433</v>
      </c>
      <c r="C400" s="78" t="s">
        <v>639</v>
      </c>
      <c r="D400" s="74" t="s">
        <v>640</v>
      </c>
      <c r="E400" s="175" t="s">
        <v>1568</v>
      </c>
      <c r="F400" s="71"/>
      <c r="G400" s="71"/>
      <c r="H400" s="71"/>
      <c r="I400" s="72">
        <f t="shared" si="24"/>
      </c>
      <c r="J400" s="72">
        <f t="shared" si="25"/>
      </c>
      <c r="K400" s="72">
        <f t="shared" si="26"/>
      </c>
    </row>
    <row r="401" spans="2:11" ht="15.75">
      <c r="B401" s="77" t="s">
        <v>1433</v>
      </c>
      <c r="C401" s="78" t="s">
        <v>639</v>
      </c>
      <c r="D401" s="74" t="s">
        <v>640</v>
      </c>
      <c r="E401" s="175" t="s">
        <v>1283</v>
      </c>
      <c r="F401" s="71"/>
      <c r="G401" s="71"/>
      <c r="H401" s="71"/>
      <c r="I401" s="72">
        <f t="shared" si="24"/>
      </c>
      <c r="J401" s="72">
        <f t="shared" si="25"/>
      </c>
      <c r="K401" s="72">
        <f t="shared" si="26"/>
      </c>
    </row>
    <row r="402" spans="2:11" ht="15.75">
      <c r="B402" s="77" t="s">
        <v>1433</v>
      </c>
      <c r="C402" s="78" t="s">
        <v>639</v>
      </c>
      <c r="D402" s="74" t="s">
        <v>640</v>
      </c>
      <c r="E402" s="175" t="s">
        <v>1284</v>
      </c>
      <c r="F402" s="71"/>
      <c r="G402" s="71"/>
      <c r="H402" s="71"/>
      <c r="I402" s="72">
        <f t="shared" si="24"/>
      </c>
      <c r="J402" s="72">
        <f t="shared" si="25"/>
      </c>
      <c r="K402" s="72">
        <f t="shared" si="26"/>
      </c>
    </row>
    <row r="403" spans="2:11" ht="15.75">
      <c r="B403" s="77"/>
      <c r="C403" s="73"/>
      <c r="D403" s="88"/>
      <c r="E403" s="176" t="s">
        <v>971</v>
      </c>
      <c r="F403" s="71"/>
      <c r="G403" s="71"/>
      <c r="H403" s="71"/>
      <c r="I403" s="72">
        <f t="shared" si="24"/>
      </c>
      <c r="J403" s="72">
        <f t="shared" si="25"/>
      </c>
      <c r="K403" s="72">
        <f t="shared" si="26"/>
      </c>
    </row>
    <row r="404" spans="2:11" ht="15.75">
      <c r="B404" s="77" t="s">
        <v>1433</v>
      </c>
      <c r="C404" s="78" t="s">
        <v>639</v>
      </c>
      <c r="D404" s="74" t="s">
        <v>640</v>
      </c>
      <c r="E404" s="177" t="s">
        <v>1568</v>
      </c>
      <c r="F404" s="71"/>
      <c r="G404" s="71"/>
      <c r="H404" s="71"/>
      <c r="I404" s="72">
        <f t="shared" si="24"/>
      </c>
      <c r="J404" s="72">
        <f t="shared" si="25"/>
      </c>
      <c r="K404" s="72">
        <f t="shared" si="26"/>
      </c>
    </row>
    <row r="405" spans="2:11" ht="15.75">
      <c r="B405" s="77" t="s">
        <v>1433</v>
      </c>
      <c r="C405" s="78" t="s">
        <v>639</v>
      </c>
      <c r="D405" s="74" t="s">
        <v>640</v>
      </c>
      <c r="E405" s="177" t="s">
        <v>1226</v>
      </c>
      <c r="F405" s="71"/>
      <c r="G405" s="71"/>
      <c r="H405" s="71"/>
      <c r="I405" s="72">
        <f t="shared" si="24"/>
      </c>
      <c r="J405" s="72">
        <f t="shared" si="25"/>
      </c>
      <c r="K405" s="72">
        <f t="shared" si="26"/>
      </c>
    </row>
    <row r="406" spans="2:11" ht="15.75">
      <c r="B406" s="77"/>
      <c r="C406" s="73"/>
      <c r="D406" s="88"/>
      <c r="E406" s="141"/>
      <c r="F406" s="71"/>
      <c r="G406" s="71"/>
      <c r="H406" s="71"/>
      <c r="I406" s="72">
        <f t="shared" si="24"/>
      </c>
      <c r="J406" s="72">
        <f t="shared" si="25"/>
      </c>
      <c r="K406" s="72">
        <f t="shared" si="26"/>
      </c>
    </row>
    <row r="407" spans="2:11" ht="15.75">
      <c r="B407" s="77" t="s">
        <v>1433</v>
      </c>
      <c r="C407" s="78" t="s">
        <v>1235</v>
      </c>
      <c r="D407" s="88" t="s">
        <v>1518</v>
      </c>
      <c r="E407" s="88" t="s">
        <v>1518</v>
      </c>
      <c r="F407" s="71"/>
      <c r="G407" s="71"/>
      <c r="H407" s="71"/>
      <c r="I407" s="72">
        <f t="shared" si="24"/>
      </c>
      <c r="J407" s="72">
        <f t="shared" si="25"/>
      </c>
      <c r="K407" s="72">
        <f t="shared" si="26"/>
      </c>
    </row>
    <row r="408" spans="1:11" ht="15">
      <c r="A408" s="35" t="str">
        <f>C407</f>
        <v>D221001</v>
      </c>
      <c r="B408" s="108" t="s">
        <v>1236</v>
      </c>
      <c r="C408" s="73"/>
      <c r="D408" s="109"/>
      <c r="E408" s="87" t="s">
        <v>1237</v>
      </c>
      <c r="F408" s="71"/>
      <c r="G408" s="71"/>
      <c r="H408" s="71"/>
      <c r="I408" s="72">
        <f t="shared" si="24"/>
      </c>
      <c r="J408" s="72">
        <f t="shared" si="25"/>
      </c>
      <c r="K408" s="72">
        <f t="shared" si="26"/>
      </c>
    </row>
    <row r="409" spans="2:11" ht="15">
      <c r="B409" s="108"/>
      <c r="C409" s="73"/>
      <c r="D409" s="109"/>
      <c r="E409" s="87"/>
      <c r="F409" s="71"/>
      <c r="G409" s="71"/>
      <c r="H409" s="71"/>
      <c r="I409" s="72">
        <f t="shared" si="24"/>
      </c>
      <c r="J409" s="72">
        <f t="shared" si="25"/>
      </c>
      <c r="K409" s="72">
        <f t="shared" si="26"/>
      </c>
    </row>
    <row r="410" spans="2:11" ht="15.75">
      <c r="B410" s="77" t="s">
        <v>1433</v>
      </c>
      <c r="C410" s="78" t="s">
        <v>619</v>
      </c>
      <c r="D410" s="74" t="s">
        <v>262</v>
      </c>
      <c r="E410" s="107" t="s">
        <v>425</v>
      </c>
      <c r="F410" s="71"/>
      <c r="G410" s="71"/>
      <c r="H410" s="71"/>
      <c r="I410" s="72">
        <f t="shared" si="24"/>
      </c>
      <c r="J410" s="72">
        <f t="shared" si="25"/>
      </c>
      <c r="K410" s="72">
        <f t="shared" si="26"/>
      </c>
    </row>
    <row r="411" spans="2:11" ht="16.5" thickBot="1">
      <c r="B411" s="178"/>
      <c r="C411" s="90"/>
      <c r="D411" s="179"/>
      <c r="E411" s="179"/>
      <c r="F411" s="93"/>
      <c r="G411" s="93"/>
      <c r="H411" s="93"/>
      <c r="I411" s="94">
        <f t="shared" si="24"/>
      </c>
      <c r="J411" s="94">
        <f t="shared" si="25"/>
      </c>
      <c r="K411" s="94">
        <f t="shared" si="26"/>
      </c>
    </row>
    <row r="412" spans="1:11" s="125" customFormat="1" ht="19.5" thickBot="1">
      <c r="A412" s="118"/>
      <c r="B412" s="178"/>
      <c r="C412" s="120"/>
      <c r="D412" s="179"/>
      <c r="E412" s="179" t="s">
        <v>920</v>
      </c>
      <c r="F412" s="123">
        <f>SUM(F288:F411)</f>
        <v>0</v>
      </c>
      <c r="G412" s="123">
        <f>SUM(G288:G411)</f>
        <v>0</v>
      </c>
      <c r="H412" s="123">
        <f>SUM(H288:H411)</f>
        <v>0</v>
      </c>
      <c r="I412" s="124">
        <f t="shared" si="24"/>
      </c>
      <c r="J412" s="124">
        <f t="shared" si="25"/>
      </c>
      <c r="K412" s="124">
        <f t="shared" si="26"/>
      </c>
    </row>
    <row r="413" spans="1:11" s="44" customFormat="1" ht="18.75">
      <c r="A413" s="35"/>
      <c r="B413" s="83"/>
      <c r="C413" s="129"/>
      <c r="D413" s="84"/>
      <c r="E413" s="13"/>
      <c r="F413" s="98"/>
      <c r="G413" s="98"/>
      <c r="H413" s="98"/>
      <c r="I413" s="99"/>
      <c r="J413" s="99"/>
      <c r="K413" s="99"/>
    </row>
    <row r="414" spans="2:11" ht="15.75">
      <c r="B414" s="158"/>
      <c r="C414" s="73"/>
      <c r="D414" s="159"/>
      <c r="E414" s="8"/>
      <c r="F414" s="71"/>
      <c r="G414" s="71"/>
      <c r="H414" s="71"/>
      <c r="I414" s="72"/>
      <c r="J414" s="72"/>
      <c r="K414" s="72"/>
    </row>
    <row r="415" spans="2:11" ht="15.75">
      <c r="B415" s="77" t="s">
        <v>1433</v>
      </c>
      <c r="C415" s="78" t="s">
        <v>426</v>
      </c>
      <c r="D415" s="88" t="s">
        <v>427</v>
      </c>
      <c r="E415" s="138" t="s">
        <v>949</v>
      </c>
      <c r="F415" s="71"/>
      <c r="G415" s="71"/>
      <c r="H415" s="71"/>
      <c r="I415" s="72">
        <f>IF(F415=0,"",(G415-F415)/F415)</f>
      </c>
      <c r="J415" s="72">
        <f>IF(F415=0,"",(H415-F415)/F415)</f>
      </c>
      <c r="K415" s="72">
        <f>IF(G415=0,"",(H415-G415)/G415)</f>
      </c>
    </row>
    <row r="416" spans="2:11" ht="15.75" thickBot="1">
      <c r="B416" s="75"/>
      <c r="C416" s="73"/>
      <c r="D416" s="76"/>
      <c r="E416" s="80"/>
      <c r="F416" s="93"/>
      <c r="G416" s="93"/>
      <c r="H416" s="93"/>
      <c r="I416" s="94"/>
      <c r="J416" s="94"/>
      <c r="K416" s="94"/>
    </row>
    <row r="417" spans="1:11" s="140" customFormat="1" ht="16.5" thickBot="1">
      <c r="A417" s="118"/>
      <c r="B417" s="180"/>
      <c r="C417" s="181"/>
      <c r="D417" s="182"/>
      <c r="E417" s="122" t="s">
        <v>920</v>
      </c>
      <c r="F417" s="123">
        <f>SUM(F415)</f>
        <v>0</v>
      </c>
      <c r="G417" s="123">
        <f>SUM(G415)</f>
        <v>0</v>
      </c>
      <c r="H417" s="123">
        <f>SUM(H415)</f>
        <v>0</v>
      </c>
      <c r="I417" s="124">
        <f>IF(F417=0,"",(G417-F417)/F417)</f>
      </c>
      <c r="J417" s="124">
        <f>IF(F417=0,"",(H417-F417)/F417)</f>
      </c>
      <c r="K417" s="124">
        <f>IF(G417=0,"",(H417-G417)/G417)</f>
      </c>
    </row>
    <row r="418" spans="2:11" ht="15.75" thickBot="1">
      <c r="B418" s="150"/>
      <c r="C418" s="73"/>
      <c r="F418" s="183"/>
      <c r="G418" s="183"/>
      <c r="H418" s="183"/>
      <c r="I418" s="184"/>
      <c r="J418" s="184"/>
      <c r="K418" s="184"/>
    </row>
    <row r="419" spans="1:11" s="140" customFormat="1" ht="16.5" thickBot="1">
      <c r="A419" s="118"/>
      <c r="B419" s="78"/>
      <c r="C419" s="185"/>
      <c r="D419" s="186"/>
      <c r="E419" s="122" t="s">
        <v>577</v>
      </c>
      <c r="F419" s="123">
        <f>+F137+F220+F278+F412+F417</f>
        <v>10732200624.060001</v>
      </c>
      <c r="G419" s="123">
        <f>+G137+G220+G278+G412+G417</f>
        <v>10843746249.808945</v>
      </c>
      <c r="H419" s="123">
        <f>+H137+H220+H278+H412+H417</f>
        <v>11784099629.592167</v>
      </c>
      <c r="I419" s="124">
        <f>IF(F419=0,"",(G419-F419)/F419)</f>
        <v>0.010393546454850517</v>
      </c>
      <c r="J419" s="124">
        <f>IF(F419=0,"",(H419-F419)/F419)</f>
        <v>0.09801335647546171</v>
      </c>
      <c r="K419" s="124">
        <f>IF(G419=0,"",(H419-G419)/G419)</f>
        <v>0.08671849729052727</v>
      </c>
    </row>
    <row r="420" spans="2:3" ht="15.75">
      <c r="B420" s="150"/>
      <c r="C420" s="73"/>
    </row>
    <row r="421" ht="18.75">
      <c r="B421" s="29" t="s">
        <v>1200</v>
      </c>
    </row>
    <row r="422" ht="18.75">
      <c r="B422" s="28" t="s">
        <v>963</v>
      </c>
    </row>
    <row r="423" ht="18.75">
      <c r="B423" s="28" t="s">
        <v>964</v>
      </c>
    </row>
    <row r="424" ht="18.75">
      <c r="B424" s="28" t="s">
        <v>1573</v>
      </c>
    </row>
    <row r="425" ht="18.75">
      <c r="B425" s="28" t="s">
        <v>1318</v>
      </c>
    </row>
    <row r="426" ht="18.75">
      <c r="B426" s="28" t="s">
        <v>791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14"/>
  <sheetViews>
    <sheetView showGridLines="0" view="pageBreakPreview" zoomScale="50" zoomScaleNormal="60" zoomScaleSheetLayoutView="50" workbookViewId="0" topLeftCell="A1">
      <pane xSplit="2" topLeftCell="C1" activePane="topRight" state="frozen"/>
      <selection pane="topLeft" activeCell="C286" sqref="C286"/>
      <selection pane="topRight" activeCell="C286" sqref="C286"/>
    </sheetView>
  </sheetViews>
  <sheetFormatPr defaultColWidth="9.140625" defaultRowHeight="12.75"/>
  <cols>
    <col min="1" max="1" width="21.7109375" style="5" customWidth="1"/>
    <col min="2" max="2" width="54.00390625" style="5" customWidth="1"/>
    <col min="3" max="3" width="21.421875" style="5" bestFit="1" customWidth="1"/>
    <col min="4" max="4" width="15.7109375" style="5" bestFit="1" customWidth="1"/>
    <col min="5" max="5" width="13.7109375" style="5" customWidth="1"/>
    <col min="6" max="6" width="15.57421875" style="5" bestFit="1" customWidth="1"/>
    <col min="7" max="7" width="13.7109375" style="5" customWidth="1"/>
    <col min="8" max="8" width="15.57421875" style="5" bestFit="1" customWidth="1"/>
    <col min="9" max="9" width="15.28125" style="5" bestFit="1" customWidth="1"/>
    <col min="10" max="10" width="11.140625" style="5" bestFit="1" customWidth="1"/>
    <col min="11" max="11" width="13.7109375" style="5" customWidth="1"/>
    <col min="12" max="12" width="15.7109375" style="5" bestFit="1" customWidth="1"/>
    <col min="13" max="15" width="15.421875" style="5" customWidth="1"/>
    <col min="16" max="16" width="15.421875" style="15" customWidth="1"/>
    <col min="17" max="17" width="17.8515625" style="15" bestFit="1" customWidth="1"/>
    <col min="18" max="18" width="15.421875" style="5" customWidth="1"/>
    <col min="19" max="19" width="17.7109375" style="5" bestFit="1" customWidth="1"/>
    <col min="20" max="21" width="15.421875" style="5" customWidth="1"/>
    <col min="22" max="22" width="15.00390625" style="5" bestFit="1" customWidth="1"/>
    <col min="23" max="23" width="29.8515625" style="5" bestFit="1" customWidth="1"/>
    <col min="24" max="24" width="17.7109375" style="5" bestFit="1" customWidth="1"/>
    <col min="25" max="25" width="15.00390625" style="5" bestFit="1" customWidth="1"/>
    <col min="26" max="26" width="14.57421875" style="5" bestFit="1" customWidth="1"/>
    <col min="27" max="27" width="20.7109375" style="5" bestFit="1" customWidth="1"/>
    <col min="28" max="28" width="16.421875" style="5" bestFit="1" customWidth="1"/>
    <col min="29" max="29" width="15.00390625" style="5" customWidth="1"/>
    <col min="30" max="30" width="19.28125" style="5" bestFit="1" customWidth="1"/>
    <col min="31" max="31" width="15.00390625" style="15" customWidth="1"/>
    <col min="32" max="32" width="18.7109375" style="5" bestFit="1" customWidth="1"/>
    <col min="33" max="33" width="23.57421875" style="15" bestFit="1" customWidth="1"/>
    <col min="34" max="34" width="1.8515625" style="5" customWidth="1"/>
    <col min="35" max="35" width="18.7109375" style="5" bestFit="1" customWidth="1"/>
    <col min="36" max="36" width="16.57421875" style="5" bestFit="1" customWidth="1"/>
    <col min="37" max="38" width="14.421875" style="5" bestFit="1" customWidth="1"/>
    <col min="39" max="16384" width="9.140625" style="5" customWidth="1"/>
  </cols>
  <sheetData>
    <row r="2" spans="1:33" ht="25.5">
      <c r="A2" s="220"/>
      <c r="B2" s="318" t="s">
        <v>1137</v>
      </c>
      <c r="C2" s="221" t="s">
        <v>1162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317"/>
      <c r="Q2" s="317"/>
      <c r="R2" s="222"/>
      <c r="S2" s="222"/>
      <c r="T2" s="222"/>
      <c r="U2" s="222"/>
      <c r="V2" s="223"/>
      <c r="W2" s="222"/>
      <c r="X2" s="221" t="s">
        <v>1163</v>
      </c>
      <c r="Y2" s="222"/>
      <c r="Z2" s="222"/>
      <c r="AA2" s="222"/>
      <c r="AB2" s="222"/>
      <c r="AC2" s="222"/>
      <c r="AD2" s="318"/>
      <c r="AE2" s="319" t="s">
        <v>1164</v>
      </c>
      <c r="AF2" s="320" t="s">
        <v>1532</v>
      </c>
      <c r="AG2" s="200"/>
    </row>
    <row r="3" spans="1:33" s="202" customFormat="1" ht="25.5">
      <c r="A3" s="359"/>
      <c r="B3" s="358" t="s">
        <v>821</v>
      </c>
      <c r="C3" s="225" t="s">
        <v>1533</v>
      </c>
      <c r="D3" s="226" t="s">
        <v>1534</v>
      </c>
      <c r="E3" s="226" t="s">
        <v>1535</v>
      </c>
      <c r="F3" s="226" t="s">
        <v>1020</v>
      </c>
      <c r="G3" s="226" t="s">
        <v>1021</v>
      </c>
      <c r="H3" s="226" t="s">
        <v>1022</v>
      </c>
      <c r="I3" s="226" t="s">
        <v>1023</v>
      </c>
      <c r="J3" s="226" t="s">
        <v>1024</v>
      </c>
      <c r="K3" s="226" t="s">
        <v>1025</v>
      </c>
      <c r="L3" s="226" t="s">
        <v>1026</v>
      </c>
      <c r="M3" s="226" t="s">
        <v>252</v>
      </c>
      <c r="N3" s="226" t="s">
        <v>253</v>
      </c>
      <c r="O3" s="226" t="s">
        <v>12</v>
      </c>
      <c r="P3" s="321" t="s">
        <v>1133</v>
      </c>
      <c r="Q3" s="321" t="s">
        <v>1134</v>
      </c>
      <c r="R3" s="226" t="s">
        <v>42</v>
      </c>
      <c r="S3" s="226" t="s">
        <v>43</v>
      </c>
      <c r="T3" s="226" t="s">
        <v>44</v>
      </c>
      <c r="U3" s="226" t="s">
        <v>45</v>
      </c>
      <c r="V3" s="228" t="s">
        <v>997</v>
      </c>
      <c r="W3" s="322" t="s">
        <v>998</v>
      </c>
      <c r="X3" s="225" t="s">
        <v>254</v>
      </c>
      <c r="Y3" s="226" t="s">
        <v>999</v>
      </c>
      <c r="Z3" s="226" t="s">
        <v>1000</v>
      </c>
      <c r="AA3" s="226" t="s">
        <v>1001</v>
      </c>
      <c r="AB3" s="226" t="s">
        <v>1002</v>
      </c>
      <c r="AC3" s="227" t="s">
        <v>1003</v>
      </c>
      <c r="AD3" s="323" t="s">
        <v>1004</v>
      </c>
      <c r="AE3" s="324" t="s">
        <v>1005</v>
      </c>
      <c r="AF3" s="229" t="s">
        <v>1006</v>
      </c>
      <c r="AG3" s="265" t="s">
        <v>920</v>
      </c>
    </row>
    <row r="4" spans="1:35" ht="17.25" customHeight="1">
      <c r="A4" s="220"/>
      <c r="B4" s="230" t="s">
        <v>1162</v>
      </c>
      <c r="C4" s="231">
        <f aca="true" t="shared" si="0" ref="C4:AG4">SUM(C6:C10)</f>
        <v>0</v>
      </c>
      <c r="D4" s="232">
        <f t="shared" si="0"/>
        <v>0</v>
      </c>
      <c r="E4" s="232" t="e">
        <f t="shared" si="0"/>
        <v>#REF!</v>
      </c>
      <c r="F4" s="232" t="e">
        <f t="shared" si="0"/>
        <v>#REF!</v>
      </c>
      <c r="G4" s="232">
        <f t="shared" si="0"/>
        <v>0</v>
      </c>
      <c r="H4" s="232">
        <f t="shared" si="0"/>
        <v>0</v>
      </c>
      <c r="I4" s="232">
        <f t="shared" si="0"/>
        <v>0</v>
      </c>
      <c r="J4" s="232">
        <f t="shared" si="0"/>
        <v>0</v>
      </c>
      <c r="K4" s="232">
        <f t="shared" si="0"/>
        <v>0</v>
      </c>
      <c r="L4" s="232">
        <f t="shared" si="0"/>
        <v>0</v>
      </c>
      <c r="M4" s="325">
        <f t="shared" si="0"/>
        <v>0</v>
      </c>
      <c r="N4" s="325">
        <f t="shared" si="0"/>
        <v>0</v>
      </c>
      <c r="O4" s="325">
        <f t="shared" si="0"/>
        <v>0</v>
      </c>
      <c r="P4" s="325">
        <f t="shared" si="0"/>
        <v>0</v>
      </c>
      <c r="Q4" s="325" t="e">
        <f t="shared" si="0"/>
        <v>#REF!</v>
      </c>
      <c r="R4" s="325">
        <f t="shared" si="0"/>
        <v>0</v>
      </c>
      <c r="S4" s="325">
        <f t="shared" si="0"/>
        <v>0</v>
      </c>
      <c r="T4" s="325" t="e">
        <f t="shared" si="0"/>
        <v>#REF!</v>
      </c>
      <c r="U4" s="325" t="e">
        <f t="shared" si="0"/>
        <v>#REF!</v>
      </c>
      <c r="V4" s="233" t="e">
        <f t="shared" si="0"/>
        <v>#REF!</v>
      </c>
      <c r="W4" s="233" t="e">
        <f t="shared" si="0"/>
        <v>#REF!</v>
      </c>
      <c r="X4" s="231">
        <f t="shared" si="0"/>
        <v>0</v>
      </c>
      <c r="Y4" s="232">
        <f t="shared" si="0"/>
        <v>0</v>
      </c>
      <c r="Z4" s="232">
        <f t="shared" si="0"/>
        <v>0</v>
      </c>
      <c r="AA4" s="232">
        <f t="shared" si="0"/>
        <v>0</v>
      </c>
      <c r="AB4" s="232">
        <f t="shared" si="0"/>
        <v>0</v>
      </c>
      <c r="AC4" s="233">
        <f t="shared" si="0"/>
        <v>0</v>
      </c>
      <c r="AD4" s="205">
        <f t="shared" si="0"/>
        <v>0</v>
      </c>
      <c r="AE4" s="326" t="e">
        <f t="shared" si="0"/>
        <v>#REF!</v>
      </c>
      <c r="AF4" s="205">
        <f t="shared" si="0"/>
        <v>0</v>
      </c>
      <c r="AG4" s="234" t="e">
        <f t="shared" si="0"/>
        <v>#REF!</v>
      </c>
      <c r="AI4" s="196" t="s">
        <v>582</v>
      </c>
    </row>
    <row r="5" spans="1:33" ht="8.25" customHeight="1">
      <c r="A5" s="235"/>
      <c r="B5" s="236"/>
      <c r="C5" s="237"/>
      <c r="D5" s="238"/>
      <c r="E5" s="238"/>
      <c r="F5" s="238"/>
      <c r="G5" s="238"/>
      <c r="H5" s="238"/>
      <c r="I5" s="238"/>
      <c r="J5" s="238"/>
      <c r="K5" s="238"/>
      <c r="L5" s="238"/>
      <c r="M5" s="239"/>
      <c r="N5" s="239"/>
      <c r="O5" s="239"/>
      <c r="P5" s="239"/>
      <c r="Q5" s="239"/>
      <c r="R5" s="239"/>
      <c r="S5" s="239"/>
      <c r="T5" s="239"/>
      <c r="U5" s="239"/>
      <c r="V5" s="240"/>
      <c r="W5" s="17"/>
      <c r="X5" s="237"/>
      <c r="Y5" s="238"/>
      <c r="Z5" s="238"/>
      <c r="AA5" s="238"/>
      <c r="AB5" s="238"/>
      <c r="AC5" s="240"/>
      <c r="AD5" s="27"/>
      <c r="AE5" s="17"/>
      <c r="AF5" s="27"/>
      <c r="AG5" s="191"/>
    </row>
    <row r="6" spans="1:36" ht="12.75">
      <c r="A6" s="208"/>
      <c r="B6" s="209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0"/>
      <c r="N6" s="210"/>
      <c r="O6" s="210"/>
      <c r="P6" s="214"/>
      <c r="Q6" s="16"/>
      <c r="R6" s="210"/>
      <c r="S6" s="210"/>
      <c r="T6" s="210"/>
      <c r="U6" s="210"/>
      <c r="V6" s="211"/>
      <c r="W6" s="16"/>
      <c r="X6" s="213"/>
      <c r="Y6" s="214"/>
      <c r="Z6" s="214"/>
      <c r="AA6" s="214"/>
      <c r="AB6" s="214"/>
      <c r="AC6" s="211"/>
      <c r="AD6" s="26"/>
      <c r="AE6" s="16"/>
      <c r="AF6" s="26"/>
      <c r="AG6" s="219"/>
      <c r="AI6" s="15"/>
      <c r="AJ6" s="15"/>
    </row>
    <row r="7" spans="1:36" ht="12.75">
      <c r="A7" s="208" t="s">
        <v>1057</v>
      </c>
      <c r="B7" s="209" t="s">
        <v>1058</v>
      </c>
      <c r="C7" s="213"/>
      <c r="D7" s="214"/>
      <c r="E7" s="214"/>
      <c r="F7" s="214"/>
      <c r="G7" s="214"/>
      <c r="H7" s="214"/>
      <c r="I7" s="214"/>
      <c r="J7" s="214"/>
      <c r="K7" s="214"/>
      <c r="L7" s="214"/>
      <c r="M7" s="210"/>
      <c r="N7" s="210"/>
      <c r="O7" s="210"/>
      <c r="P7" s="214"/>
      <c r="Q7" s="15" t="e">
        <f>+#REF!</f>
        <v>#REF!</v>
      </c>
      <c r="R7" s="210"/>
      <c r="S7" s="210"/>
      <c r="T7" s="210"/>
      <c r="U7" s="210"/>
      <c r="V7" s="211"/>
      <c r="W7" s="16" t="e">
        <f>SUM(C7:V7)</f>
        <v>#REF!</v>
      </c>
      <c r="X7" s="213"/>
      <c r="Y7" s="214"/>
      <c r="Z7" s="214"/>
      <c r="AA7" s="214"/>
      <c r="AB7" s="214"/>
      <c r="AC7" s="211"/>
      <c r="AD7" s="26">
        <f>SUM(X7:AC7)</f>
        <v>0</v>
      </c>
      <c r="AE7" s="16"/>
      <c r="AF7" s="26"/>
      <c r="AG7" s="219" t="e">
        <f>SUM(C7:AF7)-W7-AD7</f>
        <v>#REF!</v>
      </c>
      <c r="AI7" s="15">
        <f>'MLBSS_Receita e Despesa'!C30</f>
        <v>0</v>
      </c>
      <c r="AJ7" s="15" t="e">
        <f>AG7-AI7</f>
        <v>#REF!</v>
      </c>
    </row>
    <row r="8" spans="1:36" ht="12.75">
      <c r="A8" s="208" t="s">
        <v>653</v>
      </c>
      <c r="B8" s="209" t="s">
        <v>1059</v>
      </c>
      <c r="C8" s="213"/>
      <c r="D8" s="214"/>
      <c r="E8" s="214"/>
      <c r="F8" s="214"/>
      <c r="G8" s="214"/>
      <c r="H8" s="214"/>
      <c r="I8" s="214"/>
      <c r="J8" s="214"/>
      <c r="K8" s="214"/>
      <c r="L8" s="214"/>
      <c r="M8" s="210"/>
      <c r="N8" s="210"/>
      <c r="O8" s="210"/>
      <c r="P8" s="214"/>
      <c r="Q8" s="16" t="e">
        <f>+#REF!+#REF!+#REF!+#REF!+#REF!+#REF!</f>
        <v>#REF!</v>
      </c>
      <c r="R8" s="210"/>
      <c r="S8" s="210"/>
      <c r="T8" s="210"/>
      <c r="U8" s="210"/>
      <c r="V8" s="211"/>
      <c r="W8" s="16" t="e">
        <f>SUM(C8:V8)</f>
        <v>#REF!</v>
      </c>
      <c r="X8" s="213"/>
      <c r="Y8" s="214"/>
      <c r="Z8" s="214"/>
      <c r="AA8" s="214"/>
      <c r="AB8" s="214"/>
      <c r="AC8" s="211"/>
      <c r="AD8" s="26">
        <f>SUM(X8:AC8)</f>
        <v>0</v>
      </c>
      <c r="AE8" s="16"/>
      <c r="AF8" s="26"/>
      <c r="AG8" s="219" t="e">
        <f>SUM(C8:AF8)-W8-AD8</f>
        <v>#REF!</v>
      </c>
      <c r="AI8" s="15">
        <f>'MLBSS_Receita e Despesa'!C23+'MLBSS_Receita e Despesa'!C32+'MLBSS_Receita e Despesa'!C33+'MLBSS_Receita e Despesa'!C35+'MLBSS_Receita e Despesa'!C27</f>
        <v>42519527</v>
      </c>
      <c r="AJ8" s="15" t="e">
        <f>AG8-AI8</f>
        <v>#REF!</v>
      </c>
    </row>
    <row r="9" spans="1:36" ht="12.75">
      <c r="A9" s="208" t="s">
        <v>544</v>
      </c>
      <c r="B9" s="193" t="s">
        <v>1164</v>
      </c>
      <c r="C9" s="213"/>
      <c r="D9" s="214"/>
      <c r="E9" s="214" t="e">
        <f>+#REF!</f>
        <v>#REF!</v>
      </c>
      <c r="F9" s="214" t="e">
        <f>+#REF!</f>
        <v>#REF!</v>
      </c>
      <c r="G9" s="214"/>
      <c r="H9" s="214"/>
      <c r="I9" s="214"/>
      <c r="J9" s="214"/>
      <c r="K9" s="214"/>
      <c r="L9" s="214"/>
      <c r="M9" s="210"/>
      <c r="N9" s="210"/>
      <c r="O9" s="210"/>
      <c r="P9" s="210"/>
      <c r="Q9" s="210"/>
      <c r="R9" s="210"/>
      <c r="S9" s="210"/>
      <c r="T9" s="210" t="e">
        <f>+#REF!</f>
        <v>#REF!</v>
      </c>
      <c r="U9" s="210" t="e">
        <f>+#REF!</f>
        <v>#REF!</v>
      </c>
      <c r="V9" s="211" t="e">
        <f>+#REF!</f>
        <v>#REF!</v>
      </c>
      <c r="W9" s="16" t="e">
        <f>SUM(C9:V9)</f>
        <v>#REF!</v>
      </c>
      <c r="X9" s="213"/>
      <c r="Y9" s="214"/>
      <c r="Z9" s="214"/>
      <c r="AA9" s="214"/>
      <c r="AB9" s="214"/>
      <c r="AC9" s="211"/>
      <c r="AD9" s="26">
        <f>SUM(X9:AC9)</f>
        <v>0</v>
      </c>
      <c r="AE9" s="16" t="e">
        <f>+#REF!</f>
        <v>#REF!</v>
      </c>
      <c r="AF9" s="26"/>
      <c r="AG9" s="219" t="e">
        <f>SUM(C9:AF9)-W9-AD9</f>
        <v>#REF!</v>
      </c>
      <c r="AI9" s="15">
        <f>'MLBSS_Receita e Despesa'!C39</f>
        <v>27505000</v>
      </c>
      <c r="AJ9" s="15" t="e">
        <f>+AG9-AI9</f>
        <v>#REF!</v>
      </c>
    </row>
    <row r="10" spans="1:36" ht="12.75">
      <c r="A10" s="208"/>
      <c r="B10" s="193"/>
      <c r="C10" s="213"/>
      <c r="D10" s="214"/>
      <c r="E10" s="214"/>
      <c r="F10" s="214"/>
      <c r="G10" s="214"/>
      <c r="H10" s="214"/>
      <c r="I10" s="214"/>
      <c r="J10" s="214"/>
      <c r="K10" s="214"/>
      <c r="L10" s="214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16"/>
      <c r="X10" s="213"/>
      <c r="Y10" s="214"/>
      <c r="Z10" s="214"/>
      <c r="AA10" s="214"/>
      <c r="AB10" s="214"/>
      <c r="AC10" s="211"/>
      <c r="AD10" s="26"/>
      <c r="AE10" s="16"/>
      <c r="AF10" s="26"/>
      <c r="AG10" s="219"/>
      <c r="AI10" s="15"/>
      <c r="AJ10" s="15"/>
    </row>
    <row r="11" spans="1:36" ht="17.25" customHeight="1">
      <c r="A11" s="220"/>
      <c r="B11" s="246" t="s">
        <v>327</v>
      </c>
      <c r="C11" s="231">
        <f aca="true" t="shared" si="1" ref="C11:AG11">C13</f>
        <v>0</v>
      </c>
      <c r="D11" s="232">
        <f t="shared" si="1"/>
        <v>0</v>
      </c>
      <c r="E11" s="232">
        <f t="shared" si="1"/>
        <v>0</v>
      </c>
      <c r="F11" s="232">
        <f t="shared" si="1"/>
        <v>0</v>
      </c>
      <c r="G11" s="232">
        <f t="shared" si="1"/>
        <v>0</v>
      </c>
      <c r="H11" s="232">
        <f t="shared" si="1"/>
        <v>0</v>
      </c>
      <c r="I11" s="232">
        <f t="shared" si="1"/>
        <v>0</v>
      </c>
      <c r="J11" s="232">
        <f t="shared" si="1"/>
        <v>0</v>
      </c>
      <c r="K11" s="232">
        <f t="shared" si="1"/>
        <v>0</v>
      </c>
      <c r="L11" s="232">
        <f t="shared" si="1"/>
        <v>0</v>
      </c>
      <c r="M11" s="232">
        <f t="shared" si="1"/>
        <v>0</v>
      </c>
      <c r="N11" s="232">
        <f t="shared" si="1"/>
        <v>0</v>
      </c>
      <c r="O11" s="232">
        <f t="shared" si="1"/>
        <v>0</v>
      </c>
      <c r="P11" s="232">
        <f t="shared" si="1"/>
        <v>0</v>
      </c>
      <c r="Q11" s="232">
        <f t="shared" si="1"/>
        <v>0</v>
      </c>
      <c r="R11" s="232">
        <f t="shared" si="1"/>
        <v>0</v>
      </c>
      <c r="S11" s="232">
        <f t="shared" si="1"/>
        <v>0</v>
      </c>
      <c r="T11" s="232">
        <f t="shared" si="1"/>
        <v>0</v>
      </c>
      <c r="U11" s="232">
        <f t="shared" si="1"/>
        <v>0</v>
      </c>
      <c r="V11" s="232">
        <f t="shared" si="1"/>
        <v>0</v>
      </c>
      <c r="W11" s="233">
        <f t="shared" si="1"/>
        <v>0</v>
      </c>
      <c r="X11" s="231">
        <f t="shared" si="1"/>
        <v>0</v>
      </c>
      <c r="Y11" s="232">
        <f t="shared" si="1"/>
        <v>0</v>
      </c>
      <c r="Z11" s="232">
        <f t="shared" si="1"/>
        <v>0</v>
      </c>
      <c r="AA11" s="232">
        <f t="shared" si="1"/>
        <v>0</v>
      </c>
      <c r="AB11" s="232">
        <f t="shared" si="1"/>
        <v>0</v>
      </c>
      <c r="AC11" s="233">
        <f t="shared" si="1"/>
        <v>0</v>
      </c>
      <c r="AD11" s="205">
        <f t="shared" si="1"/>
        <v>0</v>
      </c>
      <c r="AE11" s="205">
        <f t="shared" si="1"/>
        <v>0</v>
      </c>
      <c r="AF11" s="205">
        <f t="shared" si="1"/>
        <v>0</v>
      </c>
      <c r="AG11" s="205">
        <f t="shared" si="1"/>
        <v>0</v>
      </c>
      <c r="AJ11" s="15"/>
    </row>
    <row r="12" spans="1:36" ht="8.25" customHeight="1">
      <c r="A12" s="235"/>
      <c r="B12" s="247"/>
      <c r="C12" s="213"/>
      <c r="D12" s="214"/>
      <c r="E12" s="214"/>
      <c r="F12" s="214"/>
      <c r="G12" s="214"/>
      <c r="H12" s="214"/>
      <c r="I12" s="214"/>
      <c r="J12" s="214"/>
      <c r="K12" s="214"/>
      <c r="L12" s="214"/>
      <c r="M12" s="210"/>
      <c r="N12" s="210"/>
      <c r="O12" s="210"/>
      <c r="P12" s="210"/>
      <c r="Q12" s="210"/>
      <c r="R12" s="210"/>
      <c r="S12" s="210"/>
      <c r="T12" s="210"/>
      <c r="U12" s="210"/>
      <c r="V12" s="211"/>
      <c r="W12" s="16"/>
      <c r="X12" s="213"/>
      <c r="Y12" s="214"/>
      <c r="Z12" s="214"/>
      <c r="AA12" s="214"/>
      <c r="AB12" s="214"/>
      <c r="AC12" s="211"/>
      <c r="AD12" s="26"/>
      <c r="AE12" s="16"/>
      <c r="AF12" s="26"/>
      <c r="AG12" s="26"/>
      <c r="AJ12" s="15"/>
    </row>
    <row r="13" spans="1:36" ht="12.75">
      <c r="A13" s="235"/>
      <c r="B13" s="212"/>
      <c r="C13" s="213"/>
      <c r="D13" s="214"/>
      <c r="E13" s="214"/>
      <c r="F13" s="214"/>
      <c r="G13" s="214"/>
      <c r="H13" s="214"/>
      <c r="I13" s="214"/>
      <c r="J13" s="214"/>
      <c r="K13" s="214"/>
      <c r="L13" s="214"/>
      <c r="M13" s="210"/>
      <c r="N13" s="210"/>
      <c r="O13" s="210"/>
      <c r="P13" s="210"/>
      <c r="Q13" s="210"/>
      <c r="R13" s="210"/>
      <c r="S13" s="210"/>
      <c r="T13" s="210"/>
      <c r="U13" s="210"/>
      <c r="V13" s="211"/>
      <c r="W13" s="16">
        <f>SUM(C13:V13)</f>
        <v>0</v>
      </c>
      <c r="X13" s="213"/>
      <c r="Y13" s="214"/>
      <c r="Z13" s="214"/>
      <c r="AA13" s="214"/>
      <c r="AB13" s="214"/>
      <c r="AC13" s="211"/>
      <c r="AD13" s="26">
        <f>SUM(X13:AC13)</f>
        <v>0</v>
      </c>
      <c r="AE13" s="16"/>
      <c r="AF13" s="26"/>
      <c r="AG13" s="26">
        <f>SUM(C13:AF13)-W13-AD13</f>
        <v>0</v>
      </c>
      <c r="AI13" s="15"/>
      <c r="AJ13" s="15">
        <f>+AG13-AI13</f>
        <v>0</v>
      </c>
    </row>
    <row r="14" spans="1:33" ht="12.75">
      <c r="A14" s="235"/>
      <c r="B14" s="212"/>
      <c r="C14" s="213"/>
      <c r="D14" s="214"/>
      <c r="E14" s="214"/>
      <c r="F14" s="214"/>
      <c r="G14" s="214"/>
      <c r="H14" s="214"/>
      <c r="I14" s="214"/>
      <c r="J14" s="214"/>
      <c r="K14" s="214"/>
      <c r="L14" s="214"/>
      <c r="M14" s="210"/>
      <c r="N14" s="210"/>
      <c r="O14" s="210"/>
      <c r="P14" s="210"/>
      <c r="Q14" s="210"/>
      <c r="R14" s="210"/>
      <c r="S14" s="210"/>
      <c r="T14" s="210"/>
      <c r="U14" s="210"/>
      <c r="V14" s="211"/>
      <c r="W14" s="16">
        <f>SUM(C14:V14)</f>
        <v>0</v>
      </c>
      <c r="X14" s="213"/>
      <c r="Y14" s="214"/>
      <c r="Z14" s="214"/>
      <c r="AA14" s="214"/>
      <c r="AB14" s="214"/>
      <c r="AC14" s="211"/>
      <c r="AD14" s="26">
        <f>SUM(X14:AC14)</f>
        <v>0</v>
      </c>
      <c r="AE14" s="16"/>
      <c r="AF14" s="26"/>
      <c r="AG14" s="26">
        <f>SUM(C14:AF14)-W14-AD14</f>
        <v>0</v>
      </c>
    </row>
    <row r="15" spans="1:36" s="33" customFormat="1" ht="12.75">
      <c r="A15" s="255"/>
      <c r="B15" s="246" t="s">
        <v>1295</v>
      </c>
      <c r="C15" s="231"/>
      <c r="D15" s="232"/>
      <c r="E15" s="232"/>
      <c r="F15" s="232"/>
      <c r="G15" s="232"/>
      <c r="H15" s="232"/>
      <c r="I15" s="232"/>
      <c r="J15" s="232"/>
      <c r="K15" s="232"/>
      <c r="L15" s="232"/>
      <c r="M15" s="325"/>
      <c r="N15" s="325"/>
      <c r="O15" s="325"/>
      <c r="P15" s="325"/>
      <c r="Q15" s="325"/>
      <c r="R15" s="325"/>
      <c r="S15" s="325"/>
      <c r="T15" s="325"/>
      <c r="U15" s="325"/>
      <c r="V15" s="233"/>
      <c r="W15" s="326"/>
      <c r="X15" s="231"/>
      <c r="Y15" s="232"/>
      <c r="Z15" s="232"/>
      <c r="AA15" s="232"/>
      <c r="AB15" s="232"/>
      <c r="AC15" s="233"/>
      <c r="AD15" s="205"/>
      <c r="AE15" s="326"/>
      <c r="AF15" s="205">
        <f>'MLBSS_Receita e Despesa'!C15</f>
        <v>0</v>
      </c>
      <c r="AG15" s="205">
        <f>SUM(C15:AF15)</f>
        <v>0</v>
      </c>
      <c r="AI15" s="188">
        <f>'MLBSS_Receita e Despesa'!C15</f>
        <v>0</v>
      </c>
      <c r="AJ15" s="33">
        <f>+AG15-AI15</f>
        <v>0</v>
      </c>
    </row>
    <row r="16" spans="1:35" ht="13.5" thickBot="1">
      <c r="A16" s="235"/>
      <c r="B16" s="212"/>
      <c r="C16" s="213"/>
      <c r="D16" s="214"/>
      <c r="E16" s="214"/>
      <c r="F16" s="214"/>
      <c r="G16" s="214"/>
      <c r="H16" s="214"/>
      <c r="I16" s="214"/>
      <c r="J16" s="214"/>
      <c r="K16" s="214"/>
      <c r="L16" s="214"/>
      <c r="M16" s="210"/>
      <c r="N16" s="210"/>
      <c r="O16" s="210"/>
      <c r="P16" s="210"/>
      <c r="Q16" s="210"/>
      <c r="R16" s="210"/>
      <c r="S16" s="210"/>
      <c r="T16" s="210"/>
      <c r="U16" s="210"/>
      <c r="V16" s="211"/>
      <c r="W16" s="16"/>
      <c r="X16" s="213"/>
      <c r="Y16" s="214"/>
      <c r="Z16" s="214"/>
      <c r="AA16" s="214"/>
      <c r="AB16" s="214"/>
      <c r="AC16" s="211"/>
      <c r="AD16" s="26"/>
      <c r="AE16" s="16"/>
      <c r="AF16" s="26"/>
      <c r="AG16" s="26"/>
      <c r="AI16" s="15"/>
    </row>
    <row r="17" spans="1:36" ht="13.5" thickBot="1">
      <c r="A17" s="248" t="s">
        <v>1296</v>
      </c>
      <c r="B17" s="249"/>
      <c r="C17" s="250">
        <f aca="true" t="shared" si="2" ref="C17:AE17">C11+C4</f>
        <v>0</v>
      </c>
      <c r="D17" s="251">
        <f t="shared" si="2"/>
        <v>0</v>
      </c>
      <c r="E17" s="251" t="e">
        <f t="shared" si="2"/>
        <v>#REF!</v>
      </c>
      <c r="F17" s="251" t="e">
        <f t="shared" si="2"/>
        <v>#REF!</v>
      </c>
      <c r="G17" s="251">
        <f t="shared" si="2"/>
        <v>0</v>
      </c>
      <c r="H17" s="251">
        <f t="shared" si="2"/>
        <v>0</v>
      </c>
      <c r="I17" s="251">
        <f t="shared" si="2"/>
        <v>0</v>
      </c>
      <c r="J17" s="251">
        <f t="shared" si="2"/>
        <v>0</v>
      </c>
      <c r="K17" s="251">
        <f t="shared" si="2"/>
        <v>0</v>
      </c>
      <c r="L17" s="251">
        <f t="shared" si="2"/>
        <v>0</v>
      </c>
      <c r="M17" s="327">
        <f t="shared" si="2"/>
        <v>0</v>
      </c>
      <c r="N17" s="327">
        <f t="shared" si="2"/>
        <v>0</v>
      </c>
      <c r="O17" s="327">
        <f t="shared" si="2"/>
        <v>0</v>
      </c>
      <c r="P17" s="327">
        <f t="shared" si="2"/>
        <v>0</v>
      </c>
      <c r="Q17" s="327" t="e">
        <f t="shared" si="2"/>
        <v>#REF!</v>
      </c>
      <c r="R17" s="327">
        <f t="shared" si="2"/>
        <v>0</v>
      </c>
      <c r="S17" s="327">
        <f t="shared" si="2"/>
        <v>0</v>
      </c>
      <c r="T17" s="327" t="e">
        <f t="shared" si="2"/>
        <v>#REF!</v>
      </c>
      <c r="U17" s="327" t="e">
        <f t="shared" si="2"/>
        <v>#REF!</v>
      </c>
      <c r="V17" s="252" t="e">
        <f t="shared" si="2"/>
        <v>#REF!</v>
      </c>
      <c r="W17" s="252" t="e">
        <f t="shared" si="2"/>
        <v>#REF!</v>
      </c>
      <c r="X17" s="250">
        <f t="shared" si="2"/>
        <v>0</v>
      </c>
      <c r="Y17" s="251">
        <f t="shared" si="2"/>
        <v>0</v>
      </c>
      <c r="Z17" s="251">
        <f t="shared" si="2"/>
        <v>0</v>
      </c>
      <c r="AA17" s="251">
        <f t="shared" si="2"/>
        <v>0</v>
      </c>
      <c r="AB17" s="251">
        <f t="shared" si="2"/>
        <v>0</v>
      </c>
      <c r="AC17" s="252">
        <f t="shared" si="2"/>
        <v>0</v>
      </c>
      <c r="AD17" s="328">
        <f t="shared" si="2"/>
        <v>0</v>
      </c>
      <c r="AE17" s="195" t="e">
        <f t="shared" si="2"/>
        <v>#REF!</v>
      </c>
      <c r="AF17" s="328">
        <f>AF11+AF4+AF15</f>
        <v>0</v>
      </c>
      <c r="AG17" s="253" t="e">
        <f>AG11+AG4+AG15</f>
        <v>#REF!</v>
      </c>
      <c r="AI17" s="254">
        <f>'MLBSS_Receita e Despesa'!C17</f>
        <v>4595743853</v>
      </c>
      <c r="AJ17" s="15" t="e">
        <f>AG17-AI17</f>
        <v>#REF!</v>
      </c>
    </row>
    <row r="18" spans="3:32" ht="35.25" customHeight="1"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F18" s="15"/>
    </row>
    <row r="19" spans="1:33" ht="25.5">
      <c r="A19" s="220"/>
      <c r="B19" s="318" t="s">
        <v>1137</v>
      </c>
      <c r="C19" s="221" t="s">
        <v>1162</v>
      </c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317"/>
      <c r="Q19" s="317"/>
      <c r="R19" s="222"/>
      <c r="S19" s="222"/>
      <c r="T19" s="222"/>
      <c r="U19" s="222"/>
      <c r="V19" s="223"/>
      <c r="W19" s="222"/>
      <c r="X19" s="221" t="s">
        <v>1163</v>
      </c>
      <c r="Y19" s="222"/>
      <c r="Z19" s="222"/>
      <c r="AA19" s="222"/>
      <c r="AB19" s="222"/>
      <c r="AC19" s="222"/>
      <c r="AD19" s="222"/>
      <c r="AE19" s="319" t="s">
        <v>1164</v>
      </c>
      <c r="AF19" s="320" t="s">
        <v>1532</v>
      </c>
      <c r="AG19" s="200"/>
    </row>
    <row r="20" spans="1:33" s="202" customFormat="1" ht="25.5">
      <c r="A20" s="360"/>
      <c r="B20" s="357" t="s">
        <v>462</v>
      </c>
      <c r="C20" s="225" t="s">
        <v>1533</v>
      </c>
      <c r="D20" s="226" t="s">
        <v>1534</v>
      </c>
      <c r="E20" s="226" t="s">
        <v>1535</v>
      </c>
      <c r="F20" s="226" t="s">
        <v>1020</v>
      </c>
      <c r="G20" s="226" t="s">
        <v>1021</v>
      </c>
      <c r="H20" s="226" t="s">
        <v>1022</v>
      </c>
      <c r="I20" s="226" t="s">
        <v>1023</v>
      </c>
      <c r="J20" s="226" t="s">
        <v>1024</v>
      </c>
      <c r="K20" s="226" t="s">
        <v>1025</v>
      </c>
      <c r="L20" s="226" t="s">
        <v>1026</v>
      </c>
      <c r="M20" s="226" t="s">
        <v>252</v>
      </c>
      <c r="N20" s="226" t="s">
        <v>253</v>
      </c>
      <c r="O20" s="226" t="s">
        <v>12</v>
      </c>
      <c r="P20" s="321" t="s">
        <v>1133</v>
      </c>
      <c r="Q20" s="321" t="s">
        <v>1134</v>
      </c>
      <c r="R20" s="226" t="s">
        <v>42</v>
      </c>
      <c r="S20" s="226" t="s">
        <v>43</v>
      </c>
      <c r="T20" s="226" t="s">
        <v>44</v>
      </c>
      <c r="U20" s="226" t="s">
        <v>45</v>
      </c>
      <c r="V20" s="228" t="s">
        <v>997</v>
      </c>
      <c r="W20" s="322" t="s">
        <v>998</v>
      </c>
      <c r="X20" s="225" t="s">
        <v>254</v>
      </c>
      <c r="Y20" s="226" t="s">
        <v>999</v>
      </c>
      <c r="Z20" s="226" t="s">
        <v>1000</v>
      </c>
      <c r="AA20" s="226" t="s">
        <v>1001</v>
      </c>
      <c r="AB20" s="226" t="s">
        <v>1002</v>
      </c>
      <c r="AC20" s="228" t="s">
        <v>1003</v>
      </c>
      <c r="AD20" s="329" t="s">
        <v>1004</v>
      </c>
      <c r="AE20" s="330" t="s">
        <v>1005</v>
      </c>
      <c r="AF20" s="229" t="s">
        <v>1006</v>
      </c>
      <c r="AG20" s="330" t="s">
        <v>920</v>
      </c>
    </row>
    <row r="21" spans="1:33" s="33" customFormat="1" ht="12.75">
      <c r="A21" s="255"/>
      <c r="B21" s="230" t="s">
        <v>1162</v>
      </c>
      <c r="C21" s="231">
        <f aca="true" t="shared" si="3" ref="C21:W21">SUM(C23:C34)</f>
        <v>0</v>
      </c>
      <c r="D21" s="234">
        <f t="shared" si="3"/>
        <v>0</v>
      </c>
      <c r="E21" s="233" t="e">
        <f t="shared" si="3"/>
        <v>#REF!</v>
      </c>
      <c r="F21" s="233" t="e">
        <f t="shared" si="3"/>
        <v>#REF!</v>
      </c>
      <c r="G21" s="233">
        <f t="shared" si="3"/>
        <v>0</v>
      </c>
      <c r="H21" s="233">
        <f t="shared" si="3"/>
        <v>0</v>
      </c>
      <c r="I21" s="233">
        <f t="shared" si="3"/>
        <v>0</v>
      </c>
      <c r="J21" s="233">
        <f t="shared" si="3"/>
        <v>0</v>
      </c>
      <c r="K21" s="233">
        <f t="shared" si="3"/>
        <v>0</v>
      </c>
      <c r="L21" s="233">
        <f t="shared" si="3"/>
        <v>0</v>
      </c>
      <c r="M21" s="233">
        <f t="shared" si="3"/>
        <v>0</v>
      </c>
      <c r="N21" s="233">
        <f t="shared" si="3"/>
        <v>0</v>
      </c>
      <c r="O21" s="233">
        <f t="shared" si="3"/>
        <v>0</v>
      </c>
      <c r="P21" s="233">
        <f t="shared" si="3"/>
        <v>0</v>
      </c>
      <c r="Q21" s="233" t="e">
        <f t="shared" si="3"/>
        <v>#REF!</v>
      </c>
      <c r="R21" s="233">
        <f t="shared" si="3"/>
        <v>0</v>
      </c>
      <c r="S21" s="233">
        <f t="shared" si="3"/>
        <v>0</v>
      </c>
      <c r="T21" s="233" t="e">
        <f t="shared" si="3"/>
        <v>#REF!</v>
      </c>
      <c r="U21" s="233" t="e">
        <f t="shared" si="3"/>
        <v>#REF!</v>
      </c>
      <c r="V21" s="233" t="e">
        <f t="shared" si="3"/>
        <v>#REF!</v>
      </c>
      <c r="W21" s="233" t="e">
        <f t="shared" si="3"/>
        <v>#REF!</v>
      </c>
      <c r="X21" s="231">
        <f aca="true" t="shared" si="4" ref="X21:AD21">SUM(X23:X33)</f>
        <v>0</v>
      </c>
      <c r="Y21" s="232">
        <f t="shared" si="4"/>
        <v>0</v>
      </c>
      <c r="Z21" s="232">
        <f t="shared" si="4"/>
        <v>0</v>
      </c>
      <c r="AA21" s="232">
        <f t="shared" si="4"/>
        <v>0</v>
      </c>
      <c r="AB21" s="232">
        <f t="shared" si="4"/>
        <v>0</v>
      </c>
      <c r="AC21" s="233">
        <f t="shared" si="4"/>
        <v>0</v>
      </c>
      <c r="AD21" s="233">
        <f t="shared" si="4"/>
        <v>0</v>
      </c>
      <c r="AE21" s="205" t="e">
        <f>SUM(AE23:AE34)</f>
        <v>#REF!</v>
      </c>
      <c r="AF21" s="205">
        <f>SUM(AF23:AF34)</f>
        <v>0</v>
      </c>
      <c r="AG21" s="205" t="e">
        <f>SUM(AG23:AG34)</f>
        <v>#REF!</v>
      </c>
    </row>
    <row r="22" spans="1:33" ht="8.25" customHeight="1">
      <c r="A22" s="235"/>
      <c r="B22" s="212"/>
      <c r="C22" s="213"/>
      <c r="D22" s="214"/>
      <c r="E22" s="214"/>
      <c r="F22" s="214"/>
      <c r="G22" s="214"/>
      <c r="H22" s="214"/>
      <c r="I22" s="214"/>
      <c r="J22" s="214"/>
      <c r="K22" s="214"/>
      <c r="L22" s="214"/>
      <c r="M22" s="210"/>
      <c r="N22" s="210"/>
      <c r="O22" s="210"/>
      <c r="P22" s="210"/>
      <c r="Q22" s="210"/>
      <c r="R22" s="210"/>
      <c r="S22" s="210"/>
      <c r="T22" s="210"/>
      <c r="U22" s="210"/>
      <c r="V22" s="211"/>
      <c r="W22" s="16"/>
      <c r="X22" s="213"/>
      <c r="Y22" s="214"/>
      <c r="Z22" s="214"/>
      <c r="AA22" s="214"/>
      <c r="AB22" s="214"/>
      <c r="AC22" s="211"/>
      <c r="AD22" s="26"/>
      <c r="AE22" s="16"/>
      <c r="AF22" s="26"/>
      <c r="AG22" s="26"/>
    </row>
    <row r="23" spans="1:36" ht="12" customHeight="1">
      <c r="A23" s="192" t="s">
        <v>295</v>
      </c>
      <c r="B23" s="209" t="s">
        <v>1060</v>
      </c>
      <c r="C23" s="213"/>
      <c r="D23" s="214"/>
      <c r="E23" s="214"/>
      <c r="F23" s="214"/>
      <c r="G23" s="214"/>
      <c r="H23" s="214"/>
      <c r="I23" s="214"/>
      <c r="J23" s="214"/>
      <c r="K23" s="214"/>
      <c r="L23" s="214"/>
      <c r="M23" s="210"/>
      <c r="N23" s="210"/>
      <c r="O23" s="210"/>
      <c r="P23" s="210"/>
      <c r="Q23" s="210" t="e">
        <f>+#REF!+#REF!</f>
        <v>#REF!</v>
      </c>
      <c r="R23" s="210"/>
      <c r="S23" s="210"/>
      <c r="T23" s="210"/>
      <c r="U23" s="210"/>
      <c r="V23" s="211"/>
      <c r="W23" s="16" t="e">
        <f aca="true" t="shared" si="5" ref="W23:W34">SUM(C23:V23)</f>
        <v>#REF!</v>
      </c>
      <c r="X23" s="213"/>
      <c r="Y23" s="214"/>
      <c r="Z23" s="214"/>
      <c r="AA23" s="214"/>
      <c r="AB23" s="214"/>
      <c r="AC23" s="211"/>
      <c r="AD23" s="26">
        <f aca="true" t="shared" si="6" ref="AD23:AD34">SUM(X23:AC23)</f>
        <v>0</v>
      </c>
      <c r="AE23" s="16"/>
      <c r="AF23" s="26"/>
      <c r="AG23" s="219" t="e">
        <f aca="true" t="shared" si="7" ref="AG23:AG35">SUM(C23:AF23)-W23-AD23</f>
        <v>#REF!</v>
      </c>
      <c r="AI23" s="15">
        <f>'MLBSS_Receita e Despesa'!C154</f>
        <v>478229758</v>
      </c>
      <c r="AJ23" s="15" t="e">
        <f aca="true" t="shared" si="8" ref="AJ23:AJ34">+AG23-AI23</f>
        <v>#REF!</v>
      </c>
    </row>
    <row r="24" spans="1:36" ht="12.75" customHeight="1">
      <c r="A24" s="192" t="s">
        <v>295</v>
      </c>
      <c r="B24" s="209" t="s">
        <v>767</v>
      </c>
      <c r="C24" s="241"/>
      <c r="D24" s="242"/>
      <c r="E24" s="242"/>
      <c r="F24" s="242"/>
      <c r="G24" s="242"/>
      <c r="H24" s="242"/>
      <c r="I24" s="242"/>
      <c r="J24" s="242"/>
      <c r="K24" s="242"/>
      <c r="L24" s="242"/>
      <c r="M24" s="243"/>
      <c r="N24" s="243"/>
      <c r="O24" s="243"/>
      <c r="P24" s="243"/>
      <c r="Q24" s="243" t="e">
        <f>+#REF!</f>
        <v>#REF!</v>
      </c>
      <c r="R24" s="243"/>
      <c r="S24" s="243"/>
      <c r="T24" s="243"/>
      <c r="U24" s="243"/>
      <c r="V24" s="244"/>
      <c r="W24" s="189" t="e">
        <f t="shared" si="5"/>
        <v>#REF!</v>
      </c>
      <c r="X24" s="241"/>
      <c r="Y24" s="242"/>
      <c r="Z24" s="242"/>
      <c r="AA24" s="242"/>
      <c r="AB24" s="242"/>
      <c r="AC24" s="244"/>
      <c r="AD24" s="194">
        <f t="shared" si="6"/>
        <v>0</v>
      </c>
      <c r="AE24" s="189"/>
      <c r="AF24" s="194"/>
      <c r="AG24" s="219" t="e">
        <f t="shared" si="7"/>
        <v>#REF!</v>
      </c>
      <c r="AI24" s="15">
        <f>'MLBSS_Receita e Despesa'!C150</f>
        <v>715190219</v>
      </c>
      <c r="AJ24" s="15" t="e">
        <f t="shared" si="8"/>
        <v>#REF!</v>
      </c>
    </row>
    <row r="25" spans="1:36" ht="12.75">
      <c r="A25" s="192"/>
      <c r="B25" s="212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0"/>
      <c r="N25" s="210"/>
      <c r="O25" s="210"/>
      <c r="P25" s="210"/>
      <c r="Q25" s="210"/>
      <c r="R25" s="210"/>
      <c r="S25" s="210"/>
      <c r="T25" s="210"/>
      <c r="U25" s="210"/>
      <c r="V25" s="211"/>
      <c r="W25" s="16">
        <f t="shared" si="5"/>
        <v>0</v>
      </c>
      <c r="X25" s="213"/>
      <c r="Y25" s="214"/>
      <c r="Z25" s="214"/>
      <c r="AA25" s="214"/>
      <c r="AB25" s="214"/>
      <c r="AC25" s="211"/>
      <c r="AD25" s="26">
        <f t="shared" si="6"/>
        <v>0</v>
      </c>
      <c r="AE25" s="16"/>
      <c r="AF25" s="26"/>
      <c r="AG25" s="26">
        <f t="shared" si="7"/>
        <v>0</v>
      </c>
      <c r="AI25" s="15"/>
      <c r="AJ25" s="15">
        <f t="shared" si="8"/>
        <v>0</v>
      </c>
    </row>
    <row r="26" spans="1:36" ht="12.75">
      <c r="A26" s="192"/>
      <c r="B26" s="212"/>
      <c r="C26" s="213"/>
      <c r="D26" s="214"/>
      <c r="E26" s="214"/>
      <c r="F26" s="214"/>
      <c r="G26" s="214"/>
      <c r="H26" s="214"/>
      <c r="I26" s="214"/>
      <c r="J26" s="214"/>
      <c r="K26" s="214"/>
      <c r="L26" s="214"/>
      <c r="M26" s="210"/>
      <c r="N26" s="210"/>
      <c r="O26" s="210"/>
      <c r="P26" s="210"/>
      <c r="Q26" s="210"/>
      <c r="R26" s="210"/>
      <c r="S26" s="210"/>
      <c r="T26" s="210"/>
      <c r="U26" s="210"/>
      <c r="V26" s="211"/>
      <c r="W26" s="16">
        <f t="shared" si="5"/>
        <v>0</v>
      </c>
      <c r="X26" s="213"/>
      <c r="Y26" s="214"/>
      <c r="Z26" s="214"/>
      <c r="AA26" s="214"/>
      <c r="AB26" s="214"/>
      <c r="AC26" s="211"/>
      <c r="AD26" s="26">
        <f t="shared" si="6"/>
        <v>0</v>
      </c>
      <c r="AE26" s="16"/>
      <c r="AF26" s="26"/>
      <c r="AG26" s="26">
        <f t="shared" si="7"/>
        <v>0</v>
      </c>
      <c r="AI26" s="15"/>
      <c r="AJ26" s="15">
        <f t="shared" si="8"/>
        <v>0</v>
      </c>
    </row>
    <row r="27" spans="1:36" ht="12.75">
      <c r="A27" s="192"/>
      <c r="B27" s="212"/>
      <c r="C27" s="213"/>
      <c r="D27" s="214"/>
      <c r="E27" s="214"/>
      <c r="F27" s="214"/>
      <c r="G27" s="215"/>
      <c r="H27" s="214"/>
      <c r="I27" s="214"/>
      <c r="J27" s="214"/>
      <c r="K27" s="215"/>
      <c r="L27" s="215"/>
      <c r="M27" s="216"/>
      <c r="N27" s="216"/>
      <c r="O27" s="216"/>
      <c r="P27" s="210"/>
      <c r="Q27" s="210"/>
      <c r="R27" s="216"/>
      <c r="S27" s="210"/>
      <c r="T27" s="216"/>
      <c r="U27" s="216"/>
      <c r="V27" s="211"/>
      <c r="W27" s="16">
        <f t="shared" si="5"/>
        <v>0</v>
      </c>
      <c r="X27" s="213"/>
      <c r="Y27" s="215"/>
      <c r="Z27" s="215"/>
      <c r="AA27" s="215"/>
      <c r="AB27" s="215"/>
      <c r="AC27" s="217"/>
      <c r="AD27" s="26">
        <f t="shared" si="6"/>
        <v>0</v>
      </c>
      <c r="AE27" s="16"/>
      <c r="AF27" s="206"/>
      <c r="AG27" s="26">
        <f t="shared" si="7"/>
        <v>0</v>
      </c>
      <c r="AI27" s="15"/>
      <c r="AJ27" s="15">
        <f t="shared" si="8"/>
        <v>0</v>
      </c>
    </row>
    <row r="28" spans="1:36" ht="12.75">
      <c r="A28" s="192"/>
      <c r="B28" s="212"/>
      <c r="C28" s="218"/>
      <c r="D28" s="215"/>
      <c r="E28" s="215"/>
      <c r="F28" s="214"/>
      <c r="G28" s="214"/>
      <c r="H28" s="215"/>
      <c r="I28" s="215"/>
      <c r="J28" s="215"/>
      <c r="K28" s="215"/>
      <c r="L28" s="215"/>
      <c r="M28" s="216"/>
      <c r="N28" s="216"/>
      <c r="O28" s="216"/>
      <c r="P28" s="210"/>
      <c r="Q28" s="210"/>
      <c r="R28" s="216"/>
      <c r="S28" s="216"/>
      <c r="T28" s="216"/>
      <c r="U28" s="216"/>
      <c r="V28" s="217"/>
      <c r="W28" s="16">
        <f t="shared" si="5"/>
        <v>0</v>
      </c>
      <c r="X28" s="218"/>
      <c r="Y28" s="215"/>
      <c r="Z28" s="215"/>
      <c r="AA28" s="215"/>
      <c r="AB28" s="215"/>
      <c r="AC28" s="217"/>
      <c r="AD28" s="26">
        <f t="shared" si="6"/>
        <v>0</v>
      </c>
      <c r="AE28" s="16"/>
      <c r="AF28" s="206"/>
      <c r="AG28" s="26">
        <f t="shared" si="7"/>
        <v>0</v>
      </c>
      <c r="AI28" s="15"/>
      <c r="AJ28" s="15">
        <f t="shared" si="8"/>
        <v>0</v>
      </c>
    </row>
    <row r="29" spans="1:36" ht="12.75">
      <c r="A29" s="192"/>
      <c r="B29" s="212"/>
      <c r="C29" s="218"/>
      <c r="D29" s="215"/>
      <c r="E29" s="215"/>
      <c r="F29" s="215"/>
      <c r="G29" s="215"/>
      <c r="H29" s="215"/>
      <c r="I29" s="215"/>
      <c r="J29" s="215"/>
      <c r="K29" s="215"/>
      <c r="L29" s="214"/>
      <c r="M29" s="210"/>
      <c r="N29" s="210"/>
      <c r="O29" s="210"/>
      <c r="P29" s="210"/>
      <c r="Q29" s="210"/>
      <c r="R29" s="210"/>
      <c r="S29" s="210"/>
      <c r="T29" s="210"/>
      <c r="U29" s="210"/>
      <c r="V29" s="211"/>
      <c r="W29" s="16">
        <f t="shared" si="5"/>
        <v>0</v>
      </c>
      <c r="X29" s="218"/>
      <c r="Y29" s="215"/>
      <c r="Z29" s="215"/>
      <c r="AA29" s="215"/>
      <c r="AB29" s="215"/>
      <c r="AC29" s="217"/>
      <c r="AD29" s="26">
        <f t="shared" si="6"/>
        <v>0</v>
      </c>
      <c r="AE29" s="16"/>
      <c r="AF29" s="206"/>
      <c r="AG29" s="26">
        <f t="shared" si="7"/>
        <v>0</v>
      </c>
      <c r="AI29" s="15"/>
      <c r="AJ29" s="15">
        <f t="shared" si="8"/>
        <v>0</v>
      </c>
    </row>
    <row r="30" spans="1:36" ht="12.75">
      <c r="A30" s="192"/>
      <c r="B30" s="212"/>
      <c r="C30" s="218"/>
      <c r="D30" s="215"/>
      <c r="E30" s="215"/>
      <c r="F30" s="214"/>
      <c r="G30" s="215"/>
      <c r="H30" s="215"/>
      <c r="I30" s="215"/>
      <c r="J30" s="215"/>
      <c r="K30" s="214"/>
      <c r="L30" s="214"/>
      <c r="M30" s="210"/>
      <c r="N30" s="210"/>
      <c r="O30" s="210"/>
      <c r="P30" s="210"/>
      <c r="Q30" s="210"/>
      <c r="R30" s="210"/>
      <c r="S30" s="210"/>
      <c r="T30" s="210"/>
      <c r="U30" s="210"/>
      <c r="V30" s="211"/>
      <c r="W30" s="16">
        <f t="shared" si="5"/>
        <v>0</v>
      </c>
      <c r="X30" s="218"/>
      <c r="Y30" s="215"/>
      <c r="Z30" s="215"/>
      <c r="AA30" s="215"/>
      <c r="AB30" s="215"/>
      <c r="AC30" s="217"/>
      <c r="AD30" s="26">
        <f t="shared" si="6"/>
        <v>0</v>
      </c>
      <c r="AE30" s="16"/>
      <c r="AF30" s="206"/>
      <c r="AG30" s="26">
        <f t="shared" si="7"/>
        <v>0</v>
      </c>
      <c r="AI30" s="15"/>
      <c r="AJ30" s="15">
        <f t="shared" si="8"/>
        <v>0</v>
      </c>
    </row>
    <row r="31" spans="1:36" ht="12.75">
      <c r="A31" s="192" t="s">
        <v>1061</v>
      </c>
      <c r="B31" s="212" t="s">
        <v>27</v>
      </c>
      <c r="C31" s="218"/>
      <c r="D31" s="215"/>
      <c r="E31" s="214" t="e">
        <f>+#REF!</f>
        <v>#REF!</v>
      </c>
      <c r="F31" s="214" t="e">
        <f>+#REF!</f>
        <v>#REF!</v>
      </c>
      <c r="G31" s="215"/>
      <c r="H31" s="214"/>
      <c r="I31" s="215"/>
      <c r="J31" s="215"/>
      <c r="K31" s="214"/>
      <c r="L31" s="214"/>
      <c r="M31" s="210"/>
      <c r="N31" s="210"/>
      <c r="O31" s="210"/>
      <c r="P31" s="210"/>
      <c r="Q31" s="210"/>
      <c r="R31" s="210"/>
      <c r="S31" s="210"/>
      <c r="T31" s="210" t="e">
        <f>+#REF!</f>
        <v>#REF!</v>
      </c>
      <c r="U31" s="210" t="e">
        <f>+#REF!</f>
        <v>#REF!</v>
      </c>
      <c r="V31" s="211" t="e">
        <f>+#REF!</f>
        <v>#REF!</v>
      </c>
      <c r="W31" s="16" t="e">
        <f t="shared" si="5"/>
        <v>#REF!</v>
      </c>
      <c r="X31" s="218"/>
      <c r="Y31" s="215"/>
      <c r="Z31" s="215"/>
      <c r="AA31" s="215"/>
      <c r="AB31" s="215"/>
      <c r="AC31" s="217"/>
      <c r="AD31" s="26">
        <f t="shared" si="6"/>
        <v>0</v>
      </c>
      <c r="AE31" s="16" t="e">
        <f>+#REF!</f>
        <v>#REF!</v>
      </c>
      <c r="AF31" s="206"/>
      <c r="AG31" s="26" t="e">
        <f t="shared" si="7"/>
        <v>#REF!</v>
      </c>
      <c r="AI31" s="15">
        <f>'MLBSS_Receita e Despesa'!C160</f>
        <v>45000000</v>
      </c>
      <c r="AJ31" s="15" t="e">
        <f t="shared" si="8"/>
        <v>#REF!</v>
      </c>
    </row>
    <row r="32" spans="1:36" ht="12.75">
      <c r="A32" s="192"/>
      <c r="B32" s="212"/>
      <c r="C32" s="218"/>
      <c r="D32" s="215"/>
      <c r="E32" s="214"/>
      <c r="F32" s="214"/>
      <c r="G32" s="215"/>
      <c r="H32" s="214"/>
      <c r="I32" s="215"/>
      <c r="J32" s="215"/>
      <c r="K32" s="214"/>
      <c r="L32" s="214"/>
      <c r="M32" s="210"/>
      <c r="N32" s="210"/>
      <c r="O32" s="210"/>
      <c r="P32" s="210"/>
      <c r="Q32" s="210"/>
      <c r="R32" s="210"/>
      <c r="S32" s="210"/>
      <c r="T32" s="210"/>
      <c r="U32" s="210"/>
      <c r="V32" s="211"/>
      <c r="W32" s="16">
        <f t="shared" si="5"/>
        <v>0</v>
      </c>
      <c r="X32" s="218"/>
      <c r="Y32" s="215"/>
      <c r="Z32" s="215"/>
      <c r="AA32" s="215"/>
      <c r="AB32" s="215"/>
      <c r="AC32" s="217"/>
      <c r="AD32" s="26">
        <f t="shared" si="6"/>
        <v>0</v>
      </c>
      <c r="AE32" s="16"/>
      <c r="AF32" s="206"/>
      <c r="AG32" s="26">
        <f t="shared" si="7"/>
        <v>0</v>
      </c>
      <c r="AI32" s="15"/>
      <c r="AJ32" s="15">
        <f t="shared" si="8"/>
        <v>0</v>
      </c>
    </row>
    <row r="33" spans="1:36" ht="12.75">
      <c r="A33" s="192"/>
      <c r="B33" s="212"/>
      <c r="C33" s="218"/>
      <c r="D33" s="215"/>
      <c r="E33" s="215"/>
      <c r="F33" s="215"/>
      <c r="G33" s="215"/>
      <c r="H33" s="214"/>
      <c r="I33" s="215"/>
      <c r="J33" s="214"/>
      <c r="K33" s="215"/>
      <c r="L33" s="215"/>
      <c r="M33" s="216"/>
      <c r="N33" s="216"/>
      <c r="O33" s="216"/>
      <c r="P33" s="210"/>
      <c r="Q33" s="210"/>
      <c r="R33" s="216"/>
      <c r="S33" s="216"/>
      <c r="T33" s="216"/>
      <c r="U33" s="216"/>
      <c r="V33" s="217"/>
      <c r="W33" s="16">
        <f t="shared" si="5"/>
        <v>0</v>
      </c>
      <c r="X33" s="218"/>
      <c r="Y33" s="215"/>
      <c r="Z33" s="215"/>
      <c r="AA33" s="215"/>
      <c r="AB33" s="215"/>
      <c r="AC33" s="217"/>
      <c r="AD33" s="26">
        <f t="shared" si="6"/>
        <v>0</v>
      </c>
      <c r="AE33" s="16"/>
      <c r="AF33" s="206"/>
      <c r="AG33" s="26">
        <f t="shared" si="7"/>
        <v>0</v>
      </c>
      <c r="AI33" s="15"/>
      <c r="AJ33" s="15">
        <f t="shared" si="8"/>
        <v>0</v>
      </c>
    </row>
    <row r="34" spans="1:36" ht="12.75">
      <c r="A34" s="192"/>
      <c r="B34" s="212"/>
      <c r="C34" s="218"/>
      <c r="D34" s="215"/>
      <c r="E34" s="215"/>
      <c r="F34" s="215"/>
      <c r="G34" s="215"/>
      <c r="H34" s="214"/>
      <c r="I34" s="215"/>
      <c r="J34" s="214"/>
      <c r="K34" s="215"/>
      <c r="L34" s="215"/>
      <c r="M34" s="216"/>
      <c r="N34" s="216"/>
      <c r="O34" s="216"/>
      <c r="P34" s="210"/>
      <c r="Q34" s="210"/>
      <c r="R34" s="216"/>
      <c r="S34" s="216"/>
      <c r="T34" s="216"/>
      <c r="U34" s="216"/>
      <c r="V34" s="211"/>
      <c r="W34" s="16">
        <f t="shared" si="5"/>
        <v>0</v>
      </c>
      <c r="X34" s="218"/>
      <c r="Y34" s="215"/>
      <c r="Z34" s="215"/>
      <c r="AA34" s="215"/>
      <c r="AB34" s="215"/>
      <c r="AC34" s="217"/>
      <c r="AD34" s="26">
        <f t="shared" si="6"/>
        <v>0</v>
      </c>
      <c r="AE34" s="16"/>
      <c r="AF34" s="206"/>
      <c r="AG34" s="26">
        <f t="shared" si="7"/>
        <v>0</v>
      </c>
      <c r="AI34" s="15"/>
      <c r="AJ34" s="15">
        <f t="shared" si="8"/>
        <v>0</v>
      </c>
    </row>
    <row r="35" spans="1:36" ht="12.75">
      <c r="A35" s="220"/>
      <c r="B35" s="246" t="s">
        <v>1163</v>
      </c>
      <c r="C35" s="231">
        <f aca="true" t="shared" si="9" ref="C35:L35">C37</f>
        <v>0</v>
      </c>
      <c r="D35" s="232">
        <f t="shared" si="9"/>
        <v>0</v>
      </c>
      <c r="E35" s="232">
        <f t="shared" si="9"/>
        <v>0</v>
      </c>
      <c r="F35" s="232">
        <f t="shared" si="9"/>
        <v>0</v>
      </c>
      <c r="G35" s="232">
        <f t="shared" si="9"/>
        <v>0</v>
      </c>
      <c r="H35" s="232">
        <f t="shared" si="9"/>
        <v>0</v>
      </c>
      <c r="I35" s="232">
        <f t="shared" si="9"/>
        <v>0</v>
      </c>
      <c r="J35" s="232">
        <f t="shared" si="9"/>
        <v>0</v>
      </c>
      <c r="K35" s="232">
        <f t="shared" si="9"/>
        <v>0</v>
      </c>
      <c r="L35" s="232">
        <f t="shared" si="9"/>
        <v>0</v>
      </c>
      <c r="M35" s="325"/>
      <c r="N35" s="325"/>
      <c r="O35" s="325"/>
      <c r="P35" s="325"/>
      <c r="Q35" s="325"/>
      <c r="R35" s="325"/>
      <c r="S35" s="325"/>
      <c r="T35" s="325"/>
      <c r="U35" s="325"/>
      <c r="V35" s="233">
        <f aca="true" t="shared" si="10" ref="V35:AF35">V37</f>
        <v>0</v>
      </c>
      <c r="W35" s="233">
        <f t="shared" si="10"/>
        <v>0</v>
      </c>
      <c r="X35" s="231">
        <f t="shared" si="10"/>
        <v>0</v>
      </c>
      <c r="Y35" s="232">
        <f t="shared" si="10"/>
        <v>0</v>
      </c>
      <c r="Z35" s="232">
        <f t="shared" si="10"/>
        <v>0</v>
      </c>
      <c r="AA35" s="232">
        <f t="shared" si="10"/>
        <v>0</v>
      </c>
      <c r="AB35" s="232">
        <f t="shared" si="10"/>
        <v>0</v>
      </c>
      <c r="AC35" s="233">
        <f t="shared" si="10"/>
        <v>0</v>
      </c>
      <c r="AD35" s="205">
        <f t="shared" si="10"/>
        <v>0</v>
      </c>
      <c r="AE35" s="326">
        <f t="shared" si="10"/>
        <v>0</v>
      </c>
      <c r="AF35" s="205">
        <f t="shared" si="10"/>
        <v>0</v>
      </c>
      <c r="AG35" s="205">
        <f t="shared" si="7"/>
        <v>0</v>
      </c>
      <c r="AJ35" s="15"/>
    </row>
    <row r="36" spans="1:36" ht="8.25" customHeight="1">
      <c r="A36" s="235"/>
      <c r="B36" s="212"/>
      <c r="C36" s="218"/>
      <c r="D36" s="215"/>
      <c r="E36" s="215"/>
      <c r="F36" s="215"/>
      <c r="G36" s="215"/>
      <c r="H36" s="215"/>
      <c r="I36" s="215"/>
      <c r="J36" s="215"/>
      <c r="K36" s="215"/>
      <c r="L36" s="215"/>
      <c r="M36" s="216"/>
      <c r="N36" s="216"/>
      <c r="O36" s="216"/>
      <c r="P36" s="210"/>
      <c r="Q36" s="210"/>
      <c r="R36" s="216"/>
      <c r="S36" s="216"/>
      <c r="T36" s="216"/>
      <c r="U36" s="216"/>
      <c r="V36" s="217"/>
      <c r="W36" s="32"/>
      <c r="X36" s="218"/>
      <c r="Y36" s="215"/>
      <c r="Z36" s="215"/>
      <c r="AA36" s="215"/>
      <c r="AB36" s="215"/>
      <c r="AC36" s="217"/>
      <c r="AD36" s="206"/>
      <c r="AE36" s="16"/>
      <c r="AF36" s="206"/>
      <c r="AG36" s="26"/>
      <c r="AJ36" s="15"/>
    </row>
    <row r="37" spans="1:36" ht="12.75">
      <c r="A37" s="235"/>
      <c r="B37" s="212"/>
      <c r="C37" s="218"/>
      <c r="D37" s="215"/>
      <c r="E37" s="215"/>
      <c r="F37" s="215"/>
      <c r="G37" s="215"/>
      <c r="H37" s="215"/>
      <c r="I37" s="215"/>
      <c r="J37" s="215"/>
      <c r="K37" s="215"/>
      <c r="L37" s="215"/>
      <c r="M37" s="216"/>
      <c r="N37" s="216"/>
      <c r="O37" s="216"/>
      <c r="P37" s="210"/>
      <c r="Q37" s="210"/>
      <c r="R37" s="216"/>
      <c r="S37" s="216"/>
      <c r="T37" s="216"/>
      <c r="U37" s="216"/>
      <c r="V37" s="217"/>
      <c r="W37" s="32">
        <f>SUM(C37:V37)</f>
        <v>0</v>
      </c>
      <c r="X37" s="218"/>
      <c r="Y37" s="215"/>
      <c r="Z37" s="215"/>
      <c r="AA37" s="215"/>
      <c r="AB37" s="214"/>
      <c r="AC37" s="217"/>
      <c r="AD37" s="26">
        <f>SUM(X37:AC37)</f>
        <v>0</v>
      </c>
      <c r="AE37" s="16"/>
      <c r="AF37" s="26"/>
      <c r="AG37" s="26">
        <f>SUM(C37:AF37)-W37-AD37</f>
        <v>0</v>
      </c>
      <c r="AI37" s="15"/>
      <c r="AJ37" s="15">
        <f>+AG37-AI37</f>
        <v>0</v>
      </c>
    </row>
    <row r="38" spans="1:36" ht="12.75">
      <c r="A38" s="235"/>
      <c r="B38" s="212"/>
      <c r="C38" s="218"/>
      <c r="D38" s="215"/>
      <c r="E38" s="215"/>
      <c r="F38" s="215"/>
      <c r="G38" s="215"/>
      <c r="H38" s="215"/>
      <c r="I38" s="215"/>
      <c r="J38" s="215"/>
      <c r="K38" s="215"/>
      <c r="L38" s="215"/>
      <c r="M38" s="216"/>
      <c r="N38" s="216"/>
      <c r="O38" s="216"/>
      <c r="P38" s="210"/>
      <c r="Q38" s="210"/>
      <c r="R38" s="216"/>
      <c r="S38" s="216"/>
      <c r="T38" s="216"/>
      <c r="U38" s="216"/>
      <c r="V38" s="217"/>
      <c r="W38" s="32">
        <f>SUM(C38:V38)</f>
        <v>0</v>
      </c>
      <c r="X38" s="218"/>
      <c r="Y38" s="215"/>
      <c r="Z38" s="215"/>
      <c r="AA38" s="215"/>
      <c r="AB38" s="215"/>
      <c r="AC38" s="217"/>
      <c r="AD38" s="26">
        <f>SUM(X38:AC38)</f>
        <v>0</v>
      </c>
      <c r="AE38" s="16"/>
      <c r="AF38" s="26"/>
      <c r="AG38" s="26"/>
      <c r="AJ38" s="15"/>
    </row>
    <row r="39" spans="1:36" s="33" customFormat="1" ht="12.75">
      <c r="A39" s="255"/>
      <c r="B39" s="246" t="s">
        <v>1295</v>
      </c>
      <c r="C39" s="331"/>
      <c r="D39" s="332"/>
      <c r="E39" s="332"/>
      <c r="F39" s="332"/>
      <c r="G39" s="332"/>
      <c r="H39" s="332"/>
      <c r="I39" s="332"/>
      <c r="J39" s="332"/>
      <c r="K39" s="332"/>
      <c r="L39" s="332"/>
      <c r="M39" s="333"/>
      <c r="N39" s="333"/>
      <c r="O39" s="333"/>
      <c r="P39" s="325"/>
      <c r="Q39" s="325"/>
      <c r="R39" s="333"/>
      <c r="S39" s="333"/>
      <c r="T39" s="333"/>
      <c r="U39" s="333"/>
      <c r="V39" s="334"/>
      <c r="W39" s="335"/>
      <c r="X39" s="331"/>
      <c r="Y39" s="332"/>
      <c r="Z39" s="332"/>
      <c r="AA39" s="332"/>
      <c r="AB39" s="332"/>
      <c r="AC39" s="334"/>
      <c r="AD39" s="336"/>
      <c r="AE39" s="326"/>
      <c r="AF39" s="205">
        <f>'MLBSS_Receita e Despesa'!C140</f>
        <v>0</v>
      </c>
      <c r="AG39" s="205">
        <f>SUM(C39:AF39)</f>
        <v>0</v>
      </c>
      <c r="AI39" s="15">
        <f>'MLBSS_Receita e Despesa'!C140</f>
        <v>0</v>
      </c>
      <c r="AJ39" s="15">
        <f>+AG39-AI39</f>
        <v>0</v>
      </c>
    </row>
    <row r="40" spans="1:33" ht="13.5" thickBot="1">
      <c r="A40" s="257"/>
      <c r="B40" s="207"/>
      <c r="C40" s="258"/>
      <c r="D40" s="259"/>
      <c r="E40" s="259"/>
      <c r="F40" s="259"/>
      <c r="G40" s="259"/>
      <c r="H40" s="259"/>
      <c r="I40" s="259"/>
      <c r="J40" s="259"/>
      <c r="K40" s="259"/>
      <c r="L40" s="259"/>
      <c r="M40" s="260"/>
      <c r="N40" s="260"/>
      <c r="O40" s="260"/>
      <c r="P40" s="337"/>
      <c r="Q40" s="337"/>
      <c r="R40" s="260"/>
      <c r="S40" s="260"/>
      <c r="T40" s="260"/>
      <c r="U40" s="260"/>
      <c r="V40" s="261"/>
      <c r="W40" s="262"/>
      <c r="X40" s="258"/>
      <c r="Y40" s="259"/>
      <c r="Z40" s="259"/>
      <c r="AA40" s="259"/>
      <c r="AB40" s="259"/>
      <c r="AC40" s="261"/>
      <c r="AD40" s="263"/>
      <c r="AE40" s="338"/>
      <c r="AF40" s="339"/>
      <c r="AG40" s="263"/>
    </row>
    <row r="41" spans="1:36" ht="13.5" thickBot="1">
      <c r="A41" s="248" t="s">
        <v>792</v>
      </c>
      <c r="B41" s="249"/>
      <c r="C41" s="250">
        <f aca="true" t="shared" si="11" ref="C41:AE41">C35+C21</f>
        <v>0</v>
      </c>
      <c r="D41" s="251">
        <f t="shared" si="11"/>
        <v>0</v>
      </c>
      <c r="E41" s="251" t="e">
        <f t="shared" si="11"/>
        <v>#REF!</v>
      </c>
      <c r="F41" s="251" t="e">
        <f t="shared" si="11"/>
        <v>#REF!</v>
      </c>
      <c r="G41" s="251">
        <f t="shared" si="11"/>
        <v>0</v>
      </c>
      <c r="H41" s="251">
        <f t="shared" si="11"/>
        <v>0</v>
      </c>
      <c r="I41" s="251">
        <f t="shared" si="11"/>
        <v>0</v>
      </c>
      <c r="J41" s="251">
        <f t="shared" si="11"/>
        <v>0</v>
      </c>
      <c r="K41" s="251">
        <f t="shared" si="11"/>
        <v>0</v>
      </c>
      <c r="L41" s="251">
        <f t="shared" si="11"/>
        <v>0</v>
      </c>
      <c r="M41" s="327">
        <f t="shared" si="11"/>
        <v>0</v>
      </c>
      <c r="N41" s="327">
        <f t="shared" si="11"/>
        <v>0</v>
      </c>
      <c r="O41" s="327">
        <f t="shared" si="11"/>
        <v>0</v>
      </c>
      <c r="P41" s="327">
        <f t="shared" si="11"/>
        <v>0</v>
      </c>
      <c r="Q41" s="327" t="e">
        <f t="shared" si="11"/>
        <v>#REF!</v>
      </c>
      <c r="R41" s="327">
        <f t="shared" si="11"/>
        <v>0</v>
      </c>
      <c r="S41" s="327">
        <f t="shared" si="11"/>
        <v>0</v>
      </c>
      <c r="T41" s="327" t="e">
        <f t="shared" si="11"/>
        <v>#REF!</v>
      </c>
      <c r="U41" s="327" t="e">
        <f t="shared" si="11"/>
        <v>#REF!</v>
      </c>
      <c r="V41" s="252" t="e">
        <f t="shared" si="11"/>
        <v>#REF!</v>
      </c>
      <c r="W41" s="252" t="e">
        <f t="shared" si="11"/>
        <v>#REF!</v>
      </c>
      <c r="X41" s="250">
        <f t="shared" si="11"/>
        <v>0</v>
      </c>
      <c r="Y41" s="251">
        <f t="shared" si="11"/>
        <v>0</v>
      </c>
      <c r="Z41" s="251">
        <f t="shared" si="11"/>
        <v>0</v>
      </c>
      <c r="AA41" s="251">
        <f t="shared" si="11"/>
        <v>0</v>
      </c>
      <c r="AB41" s="251">
        <f t="shared" si="11"/>
        <v>0</v>
      </c>
      <c r="AC41" s="252">
        <f t="shared" si="11"/>
        <v>0</v>
      </c>
      <c r="AD41" s="252">
        <f t="shared" si="11"/>
        <v>0</v>
      </c>
      <c r="AE41" s="195" t="e">
        <f t="shared" si="11"/>
        <v>#REF!</v>
      </c>
      <c r="AF41" s="328">
        <f>AF35+AF21+AF39</f>
        <v>0</v>
      </c>
      <c r="AG41" s="253" t="e">
        <f>AG35+AG21+AG39</f>
        <v>#REF!</v>
      </c>
      <c r="AI41" s="254">
        <f>'MLBSS_Receita e Despesa'!C142</f>
        <v>1278521977</v>
      </c>
      <c r="AJ41" s="15" t="e">
        <f>AG41-AI41</f>
        <v>#REF!</v>
      </c>
    </row>
    <row r="42" spans="1:36" ht="12.75">
      <c r="A42" s="536"/>
      <c r="B42" s="53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I42" s="254"/>
      <c r="AJ42" s="15"/>
    </row>
    <row r="43" spans="1:33" ht="25.5">
      <c r="A43" s="220"/>
      <c r="B43" s="318" t="s">
        <v>1137</v>
      </c>
      <c r="C43" s="221" t="s">
        <v>1162</v>
      </c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2"/>
      <c r="P43" s="317"/>
      <c r="Q43" s="317"/>
      <c r="R43" s="222"/>
      <c r="S43" s="222"/>
      <c r="T43" s="222"/>
      <c r="U43" s="222"/>
      <c r="V43" s="223"/>
      <c r="W43" s="222"/>
      <c r="X43" s="221" t="s">
        <v>1163</v>
      </c>
      <c r="Y43" s="222"/>
      <c r="Z43" s="222"/>
      <c r="AA43" s="222"/>
      <c r="AB43" s="222"/>
      <c r="AC43" s="222"/>
      <c r="AD43" s="222"/>
      <c r="AE43" s="319" t="s">
        <v>1164</v>
      </c>
      <c r="AF43" s="320" t="s">
        <v>1532</v>
      </c>
      <c r="AG43" s="345"/>
    </row>
    <row r="44" spans="1:33" s="202" customFormat="1" ht="25.5">
      <c r="A44" s="361"/>
      <c r="B44" s="357" t="s">
        <v>1084</v>
      </c>
      <c r="C44" s="225" t="s">
        <v>1533</v>
      </c>
      <c r="D44" s="226" t="s">
        <v>1534</v>
      </c>
      <c r="E44" s="226" t="s">
        <v>1535</v>
      </c>
      <c r="F44" s="226" t="s">
        <v>1020</v>
      </c>
      <c r="G44" s="226" t="s">
        <v>1021</v>
      </c>
      <c r="H44" s="226" t="s">
        <v>1022</v>
      </c>
      <c r="I44" s="226" t="s">
        <v>1023</v>
      </c>
      <c r="J44" s="226" t="s">
        <v>1024</v>
      </c>
      <c r="K44" s="226" t="s">
        <v>1025</v>
      </c>
      <c r="L44" s="226" t="s">
        <v>1026</v>
      </c>
      <c r="M44" s="226" t="s">
        <v>252</v>
      </c>
      <c r="N44" s="226" t="s">
        <v>253</v>
      </c>
      <c r="O44" s="226" t="s">
        <v>12</v>
      </c>
      <c r="P44" s="321" t="s">
        <v>1133</v>
      </c>
      <c r="Q44" s="321" t="s">
        <v>1134</v>
      </c>
      <c r="R44" s="226" t="s">
        <v>42</v>
      </c>
      <c r="S44" s="226" t="s">
        <v>43</v>
      </c>
      <c r="T44" s="226" t="s">
        <v>44</v>
      </c>
      <c r="U44" s="226" t="s">
        <v>45</v>
      </c>
      <c r="V44" s="228" t="s">
        <v>997</v>
      </c>
      <c r="W44" s="322" t="s">
        <v>998</v>
      </c>
      <c r="X44" s="225" t="s">
        <v>254</v>
      </c>
      <c r="Y44" s="226" t="s">
        <v>999</v>
      </c>
      <c r="Z44" s="226" t="s">
        <v>1000</v>
      </c>
      <c r="AA44" s="226" t="s">
        <v>1001</v>
      </c>
      <c r="AB44" s="226" t="s">
        <v>1002</v>
      </c>
      <c r="AC44" s="228" t="s">
        <v>1003</v>
      </c>
      <c r="AD44" s="329" t="s">
        <v>1004</v>
      </c>
      <c r="AE44" s="330" t="s">
        <v>1005</v>
      </c>
      <c r="AF44" s="229" t="s">
        <v>1006</v>
      </c>
      <c r="AG44" s="265" t="s">
        <v>920</v>
      </c>
    </row>
    <row r="45" spans="1:33" ht="17.25" customHeight="1">
      <c r="A45" s="220"/>
      <c r="B45" s="230" t="s">
        <v>1162</v>
      </c>
      <c r="C45" s="231">
        <f aca="true" t="shared" si="12" ref="C45:AG45">SUM(C47:C54)</f>
        <v>0</v>
      </c>
      <c r="D45" s="232">
        <f t="shared" si="12"/>
        <v>0</v>
      </c>
      <c r="E45" s="232" t="e">
        <f t="shared" si="12"/>
        <v>#REF!</v>
      </c>
      <c r="F45" s="232" t="e">
        <f t="shared" si="12"/>
        <v>#REF!</v>
      </c>
      <c r="G45" s="232">
        <f t="shared" si="12"/>
        <v>0</v>
      </c>
      <c r="H45" s="232" t="e">
        <f t="shared" si="12"/>
        <v>#REF!</v>
      </c>
      <c r="I45" s="232">
        <f t="shared" si="12"/>
        <v>0</v>
      </c>
      <c r="J45" s="232">
        <f t="shared" si="12"/>
        <v>0</v>
      </c>
      <c r="K45" s="232">
        <f t="shared" si="12"/>
        <v>0</v>
      </c>
      <c r="L45" s="232">
        <f t="shared" si="12"/>
        <v>0</v>
      </c>
      <c r="M45" s="325">
        <f t="shared" si="12"/>
        <v>0</v>
      </c>
      <c r="N45" s="325">
        <f t="shared" si="12"/>
        <v>0</v>
      </c>
      <c r="O45" s="325">
        <f t="shared" si="12"/>
        <v>0</v>
      </c>
      <c r="P45" s="325">
        <f t="shared" si="12"/>
        <v>0</v>
      </c>
      <c r="Q45" s="325" t="e">
        <f t="shared" si="12"/>
        <v>#REF!</v>
      </c>
      <c r="R45" s="325" t="e">
        <f t="shared" si="12"/>
        <v>#REF!</v>
      </c>
      <c r="S45" s="325" t="e">
        <f t="shared" si="12"/>
        <v>#REF!</v>
      </c>
      <c r="T45" s="325" t="e">
        <f t="shared" si="12"/>
        <v>#REF!</v>
      </c>
      <c r="U45" s="325" t="e">
        <f t="shared" si="12"/>
        <v>#REF!</v>
      </c>
      <c r="V45" s="233" t="e">
        <f t="shared" si="12"/>
        <v>#REF!</v>
      </c>
      <c r="W45" s="233" t="e">
        <f t="shared" si="12"/>
        <v>#REF!</v>
      </c>
      <c r="X45" s="231">
        <f t="shared" si="12"/>
        <v>0</v>
      </c>
      <c r="Y45" s="232" t="e">
        <f t="shared" si="12"/>
        <v>#REF!</v>
      </c>
      <c r="Z45" s="232">
        <f t="shared" si="12"/>
        <v>0</v>
      </c>
      <c r="AA45" s="232">
        <f t="shared" si="12"/>
        <v>0</v>
      </c>
      <c r="AB45" s="232">
        <f t="shared" si="12"/>
        <v>0</v>
      </c>
      <c r="AC45" s="233">
        <f t="shared" si="12"/>
        <v>0</v>
      </c>
      <c r="AD45" s="233" t="e">
        <f t="shared" si="12"/>
        <v>#REF!</v>
      </c>
      <c r="AE45" s="326" t="e">
        <f t="shared" si="12"/>
        <v>#REF!</v>
      </c>
      <c r="AF45" s="205">
        <f t="shared" si="12"/>
        <v>0</v>
      </c>
      <c r="AG45" s="234" t="e">
        <f t="shared" si="12"/>
        <v>#REF!</v>
      </c>
    </row>
    <row r="46" spans="1:33" ht="8.25" customHeight="1">
      <c r="A46" s="235"/>
      <c r="B46" s="236"/>
      <c r="C46" s="237"/>
      <c r="D46" s="238"/>
      <c r="E46" s="238"/>
      <c r="F46" s="238"/>
      <c r="G46" s="238"/>
      <c r="H46" s="238"/>
      <c r="I46" s="238"/>
      <c r="J46" s="238"/>
      <c r="K46" s="238"/>
      <c r="L46" s="238"/>
      <c r="M46" s="239"/>
      <c r="N46" s="239"/>
      <c r="O46" s="239"/>
      <c r="P46" s="239"/>
      <c r="Q46" s="239"/>
      <c r="R46" s="239"/>
      <c r="S46" s="239"/>
      <c r="T46" s="239"/>
      <c r="U46" s="239"/>
      <c r="V46" s="240"/>
      <c r="W46" s="17"/>
      <c r="X46" s="237"/>
      <c r="Y46" s="238"/>
      <c r="Z46" s="238"/>
      <c r="AA46" s="238"/>
      <c r="AB46" s="238"/>
      <c r="AC46" s="240"/>
      <c r="AD46" s="27"/>
      <c r="AE46" s="17"/>
      <c r="AF46" s="27"/>
      <c r="AG46" s="191"/>
    </row>
    <row r="47" spans="1:36" s="245" customFormat="1" ht="12.75" customHeight="1">
      <c r="A47" s="192" t="s">
        <v>1606</v>
      </c>
      <c r="B47" s="209" t="s">
        <v>591</v>
      </c>
      <c r="C47" s="241"/>
      <c r="D47" s="242"/>
      <c r="E47" s="242"/>
      <c r="F47" s="242"/>
      <c r="G47" s="242"/>
      <c r="H47" s="242"/>
      <c r="I47" s="242"/>
      <c r="J47" s="242"/>
      <c r="K47" s="242"/>
      <c r="L47" s="242"/>
      <c r="M47" s="243"/>
      <c r="N47" s="243"/>
      <c r="O47" s="243"/>
      <c r="P47" s="243"/>
      <c r="Q47" s="243" t="e">
        <f>#REF!+#REF!</f>
        <v>#REF!</v>
      </c>
      <c r="R47" s="243"/>
      <c r="S47" s="243"/>
      <c r="T47" s="243"/>
      <c r="U47" s="243"/>
      <c r="V47" s="244"/>
      <c r="W47" s="189" t="e">
        <f aca="true" t="shared" si="13" ref="W47:W54">SUM(C47:V47)</f>
        <v>#REF!</v>
      </c>
      <c r="X47" s="241"/>
      <c r="Y47" s="242"/>
      <c r="Z47" s="242"/>
      <c r="AA47" s="242"/>
      <c r="AB47" s="242"/>
      <c r="AC47" s="244"/>
      <c r="AD47" s="194">
        <f aca="true" t="shared" si="14" ref="AD47:AD54">SUM(X47:AC47)</f>
        <v>0</v>
      </c>
      <c r="AE47" s="189"/>
      <c r="AF47" s="194"/>
      <c r="AG47" s="190" t="e">
        <f aca="true" t="shared" si="15" ref="AG47:AG54">SUM(C47:AF47)-W47-AD47</f>
        <v>#REF!</v>
      </c>
      <c r="AI47" s="197">
        <f>'MLBSS_Receita e Despesa'!C248</f>
        <v>123500000</v>
      </c>
      <c r="AJ47" s="197" t="e">
        <f aca="true" t="shared" si="16" ref="AJ47:AJ54">+AG47-AI47</f>
        <v>#REF!</v>
      </c>
    </row>
    <row r="48" spans="1:36" ht="12.75">
      <c r="A48" s="192" t="s">
        <v>592</v>
      </c>
      <c r="B48" s="209" t="s">
        <v>159</v>
      </c>
      <c r="C48" s="213"/>
      <c r="D48" s="214"/>
      <c r="E48" s="214"/>
      <c r="F48" s="214"/>
      <c r="G48" s="214"/>
      <c r="H48" s="214"/>
      <c r="I48" s="214"/>
      <c r="J48" s="214"/>
      <c r="K48" s="214"/>
      <c r="L48" s="214"/>
      <c r="M48" s="210"/>
      <c r="N48" s="210"/>
      <c r="O48" s="210"/>
      <c r="P48" s="210"/>
      <c r="Q48" s="210"/>
      <c r="R48" s="210" t="e">
        <f>#REF!</f>
        <v>#REF!</v>
      </c>
      <c r="S48" s="210"/>
      <c r="T48" s="210"/>
      <c r="U48" s="210"/>
      <c r="V48" s="211"/>
      <c r="W48" s="16" t="e">
        <f t="shared" si="13"/>
        <v>#REF!</v>
      </c>
      <c r="X48" s="213"/>
      <c r="Y48" s="214"/>
      <c r="Z48" s="214"/>
      <c r="AA48" s="214"/>
      <c r="AB48" s="214"/>
      <c r="AC48" s="211"/>
      <c r="AD48" s="26">
        <f t="shared" si="14"/>
        <v>0</v>
      </c>
      <c r="AE48" s="16"/>
      <c r="AF48" s="26"/>
      <c r="AG48" s="219" t="e">
        <f t="shared" si="15"/>
        <v>#REF!</v>
      </c>
      <c r="AI48" s="15">
        <f>'MLBSS_Receita e Despesa'!C250</f>
        <v>161917250</v>
      </c>
      <c r="AJ48" s="197" t="e">
        <f t="shared" si="16"/>
        <v>#REF!</v>
      </c>
    </row>
    <row r="49" spans="1:36" ht="12.75">
      <c r="A49" s="192" t="s">
        <v>593</v>
      </c>
      <c r="B49" s="209" t="s">
        <v>428</v>
      </c>
      <c r="C49" s="213"/>
      <c r="D49" s="214"/>
      <c r="E49" s="214"/>
      <c r="F49" s="214"/>
      <c r="G49" s="214"/>
      <c r="H49" s="214"/>
      <c r="I49" s="214"/>
      <c r="J49" s="214"/>
      <c r="K49" s="214"/>
      <c r="L49" s="214"/>
      <c r="M49" s="210"/>
      <c r="N49" s="210"/>
      <c r="O49" s="210"/>
      <c r="P49" s="210"/>
      <c r="Q49" s="210"/>
      <c r="R49" s="210"/>
      <c r="S49" s="210"/>
      <c r="T49" s="210"/>
      <c r="U49" s="210"/>
      <c r="V49" s="211"/>
      <c r="W49" s="16">
        <f t="shared" si="13"/>
        <v>0</v>
      </c>
      <c r="X49" s="213"/>
      <c r="Y49" s="214"/>
      <c r="Z49" s="214"/>
      <c r="AA49" s="214"/>
      <c r="AB49" s="214"/>
      <c r="AC49" s="211"/>
      <c r="AD49" s="26">
        <f t="shared" si="14"/>
        <v>0</v>
      </c>
      <c r="AE49" s="16" t="e">
        <f>#REF!</f>
        <v>#REF!</v>
      </c>
      <c r="AF49" s="26"/>
      <c r="AG49" s="219" t="e">
        <f t="shared" si="15"/>
        <v>#REF!</v>
      </c>
      <c r="AI49" s="15">
        <f>'MLBSS_Receita e Despesa'!C264</f>
        <v>584419</v>
      </c>
      <c r="AJ49" s="197" t="e">
        <f t="shared" si="16"/>
        <v>#REF!</v>
      </c>
    </row>
    <row r="50" spans="1:36" ht="12.75">
      <c r="A50" s="192" t="s">
        <v>826</v>
      </c>
      <c r="B50" s="209" t="s">
        <v>263</v>
      </c>
      <c r="C50" s="213"/>
      <c r="D50" s="214"/>
      <c r="E50" s="214"/>
      <c r="F50" s="214"/>
      <c r="G50" s="214"/>
      <c r="H50" s="214"/>
      <c r="I50" s="214"/>
      <c r="J50" s="214"/>
      <c r="K50" s="214"/>
      <c r="L50" s="214"/>
      <c r="M50" s="210"/>
      <c r="N50" s="210"/>
      <c r="O50" s="210"/>
      <c r="P50" s="210"/>
      <c r="Q50" s="210"/>
      <c r="R50" s="210"/>
      <c r="S50" s="210"/>
      <c r="T50" s="210"/>
      <c r="U50" s="210"/>
      <c r="V50" s="211"/>
      <c r="W50" s="16">
        <f t="shared" si="13"/>
        <v>0</v>
      </c>
      <c r="X50" s="213"/>
      <c r="Y50" s="214"/>
      <c r="Z50" s="214"/>
      <c r="AA50" s="214"/>
      <c r="AB50" s="214"/>
      <c r="AC50" s="211"/>
      <c r="AD50" s="26">
        <f t="shared" si="14"/>
        <v>0</v>
      </c>
      <c r="AE50" s="16" t="e">
        <f>#REF!</f>
        <v>#REF!</v>
      </c>
      <c r="AF50" s="26"/>
      <c r="AG50" s="219" t="e">
        <f t="shared" si="15"/>
        <v>#REF!</v>
      </c>
      <c r="AI50" s="15">
        <f>'MLBSS_Receita e Despesa'!C266</f>
        <v>806068</v>
      </c>
      <c r="AJ50" s="197" t="e">
        <f t="shared" si="16"/>
        <v>#REF!</v>
      </c>
    </row>
    <row r="51" spans="1:36" ht="12.75">
      <c r="A51" s="192" t="s">
        <v>264</v>
      </c>
      <c r="B51" s="209" t="s">
        <v>27</v>
      </c>
      <c r="C51" s="213"/>
      <c r="D51" s="214"/>
      <c r="E51" s="214" t="e">
        <f>#REF!+#REF!</f>
        <v>#REF!</v>
      </c>
      <c r="F51" s="214" t="e">
        <f>#REF!+#REF!</f>
        <v>#REF!</v>
      </c>
      <c r="G51" s="214"/>
      <c r="H51" s="214" t="e">
        <f>#REF!+#REF!</f>
        <v>#REF!</v>
      </c>
      <c r="I51" s="214"/>
      <c r="J51" s="214"/>
      <c r="K51" s="214"/>
      <c r="L51" s="214"/>
      <c r="M51" s="210"/>
      <c r="N51" s="210"/>
      <c r="O51" s="210"/>
      <c r="P51" s="210"/>
      <c r="Q51" s="210"/>
      <c r="R51" s="210"/>
      <c r="S51" s="210" t="e">
        <f>#REF!</f>
        <v>#REF!</v>
      </c>
      <c r="T51" s="210" t="e">
        <f>#REF!+#REF!</f>
        <v>#REF!</v>
      </c>
      <c r="U51" s="210" t="e">
        <f>+#REF!+#REF!</f>
        <v>#REF!</v>
      </c>
      <c r="V51" s="211" t="e">
        <f>#REF!+#REF!</f>
        <v>#REF!</v>
      </c>
      <c r="W51" s="16" t="e">
        <f t="shared" si="13"/>
        <v>#REF!</v>
      </c>
      <c r="X51" s="213"/>
      <c r="Y51" s="214"/>
      <c r="Z51" s="214"/>
      <c r="AA51" s="214"/>
      <c r="AB51" s="214"/>
      <c r="AC51" s="211"/>
      <c r="AD51" s="26">
        <f t="shared" si="14"/>
        <v>0</v>
      </c>
      <c r="AE51" s="16" t="e">
        <f>#REF!+#REF!</f>
        <v>#REF!</v>
      </c>
      <c r="AF51" s="26"/>
      <c r="AG51" s="219" t="e">
        <f t="shared" si="15"/>
        <v>#REF!</v>
      </c>
      <c r="AI51" s="15">
        <f>'MLBSS_Receita e Despesa'!C270+'MLBSS_Receita e Despesa'!C268+'MLBSS_Receita e Despesa'!C262+'MLBSS_Receita e Despesa'!C260</f>
        <v>14523022</v>
      </c>
      <c r="AJ51" s="197" t="e">
        <f t="shared" si="16"/>
        <v>#REF!</v>
      </c>
    </row>
    <row r="52" spans="1:36" ht="12.75">
      <c r="A52" s="192" t="s">
        <v>1530</v>
      </c>
      <c r="B52" s="209" t="s">
        <v>160</v>
      </c>
      <c r="C52" s="213"/>
      <c r="D52" s="214"/>
      <c r="E52" s="214"/>
      <c r="F52" s="214"/>
      <c r="G52" s="214"/>
      <c r="H52" s="214"/>
      <c r="I52" s="214"/>
      <c r="J52" s="214"/>
      <c r="K52" s="214"/>
      <c r="L52" s="214"/>
      <c r="M52" s="210"/>
      <c r="N52" s="210"/>
      <c r="O52" s="210"/>
      <c r="P52" s="210"/>
      <c r="Q52" s="210" t="e">
        <f>SUM(#REF!)</f>
        <v>#REF!</v>
      </c>
      <c r="R52" s="210" t="e">
        <f>#REF!</f>
        <v>#REF!</v>
      </c>
      <c r="S52" s="210" t="e">
        <f>#REF!</f>
        <v>#REF!</v>
      </c>
      <c r="T52" s="210" t="e">
        <f>#REF!</f>
        <v>#REF!</v>
      </c>
      <c r="U52" s="210" t="e">
        <f>#REF!</f>
        <v>#REF!</v>
      </c>
      <c r="V52" s="211" t="e">
        <f>#REF!</f>
        <v>#REF!</v>
      </c>
      <c r="W52" s="16" t="e">
        <f t="shared" si="13"/>
        <v>#REF!</v>
      </c>
      <c r="X52" s="213"/>
      <c r="Y52" s="214" t="e">
        <f>#REF!</f>
        <v>#REF!</v>
      </c>
      <c r="Z52" s="214"/>
      <c r="AA52" s="214"/>
      <c r="AB52" s="214"/>
      <c r="AC52" s="211"/>
      <c r="AD52" s="26" t="e">
        <f t="shared" si="14"/>
        <v>#REF!</v>
      </c>
      <c r="AE52" s="16" t="e">
        <f>#REF!</f>
        <v>#REF!</v>
      </c>
      <c r="AF52" s="26"/>
      <c r="AG52" s="219" t="e">
        <f t="shared" si="15"/>
        <v>#REF!</v>
      </c>
      <c r="AI52" s="15">
        <f>'MLBSS_Receita e Despesa'!C272</f>
        <v>3737076</v>
      </c>
      <c r="AJ52" s="197" t="e">
        <f t="shared" si="16"/>
        <v>#REF!</v>
      </c>
    </row>
    <row r="53" spans="1:36" ht="12.75">
      <c r="A53" s="192" t="s">
        <v>1302</v>
      </c>
      <c r="B53" s="193" t="s">
        <v>1248</v>
      </c>
      <c r="C53" s="213"/>
      <c r="D53" s="214"/>
      <c r="E53" s="214"/>
      <c r="F53" s="214"/>
      <c r="G53" s="214"/>
      <c r="H53" s="214"/>
      <c r="I53" s="214"/>
      <c r="J53" s="214"/>
      <c r="K53" s="214"/>
      <c r="L53" s="214"/>
      <c r="M53" s="210"/>
      <c r="N53" s="210"/>
      <c r="O53" s="210"/>
      <c r="P53" s="210"/>
      <c r="Q53" s="210" t="e">
        <f>#REF!</f>
        <v>#REF!</v>
      </c>
      <c r="R53" s="210"/>
      <c r="S53" s="210"/>
      <c r="T53" s="210"/>
      <c r="U53" s="210"/>
      <c r="V53" s="211"/>
      <c r="W53" s="16" t="e">
        <f t="shared" si="13"/>
        <v>#REF!</v>
      </c>
      <c r="X53" s="213"/>
      <c r="Y53" s="214"/>
      <c r="Z53" s="214"/>
      <c r="AA53" s="214"/>
      <c r="AB53" s="214"/>
      <c r="AC53" s="211"/>
      <c r="AD53" s="26">
        <f t="shared" si="14"/>
        <v>0</v>
      </c>
      <c r="AE53" s="16"/>
      <c r="AF53" s="26"/>
      <c r="AG53" s="219" t="e">
        <f t="shared" si="15"/>
        <v>#REF!</v>
      </c>
      <c r="AI53" s="15">
        <f>'MLBSS_Receita e Despesa'!C276</f>
        <v>0</v>
      </c>
      <c r="AJ53" s="197" t="e">
        <f t="shared" si="16"/>
        <v>#REF!</v>
      </c>
    </row>
    <row r="54" spans="1:36" ht="12.75">
      <c r="A54" s="192" t="s">
        <v>1249</v>
      </c>
      <c r="B54" s="209" t="s">
        <v>1250</v>
      </c>
      <c r="C54" s="213"/>
      <c r="D54" s="214"/>
      <c r="E54" s="214"/>
      <c r="F54" s="214"/>
      <c r="G54" s="214"/>
      <c r="H54" s="214"/>
      <c r="I54" s="214"/>
      <c r="J54" s="214"/>
      <c r="K54" s="214"/>
      <c r="L54" s="214"/>
      <c r="M54" s="210"/>
      <c r="N54" s="210"/>
      <c r="O54" s="210"/>
      <c r="P54" s="210"/>
      <c r="Q54" s="210"/>
      <c r="R54" s="210"/>
      <c r="S54" s="210" t="e">
        <f>#REF!</f>
        <v>#REF!</v>
      </c>
      <c r="T54" s="210"/>
      <c r="U54" s="210"/>
      <c r="V54" s="211"/>
      <c r="W54" s="16" t="e">
        <f t="shared" si="13"/>
        <v>#REF!</v>
      </c>
      <c r="X54" s="213"/>
      <c r="Y54" s="214"/>
      <c r="Z54" s="214"/>
      <c r="AA54" s="214"/>
      <c r="AB54" s="214"/>
      <c r="AC54" s="211"/>
      <c r="AD54" s="26">
        <f t="shared" si="14"/>
        <v>0</v>
      </c>
      <c r="AE54" s="16" t="e">
        <f>#REF!</f>
        <v>#REF!</v>
      </c>
      <c r="AF54" s="26"/>
      <c r="AG54" s="219" t="e">
        <f t="shared" si="15"/>
        <v>#REF!</v>
      </c>
      <c r="AI54" s="15">
        <f>'MLBSS_Receita e Despesa'!C274</f>
        <v>0</v>
      </c>
      <c r="AJ54" s="197" t="e">
        <f t="shared" si="16"/>
        <v>#REF!</v>
      </c>
    </row>
    <row r="55" spans="1:36" ht="17.25" customHeight="1">
      <c r="A55" s="220"/>
      <c r="B55" s="246" t="s">
        <v>1163</v>
      </c>
      <c r="C55" s="231">
        <f aca="true" t="shared" si="17" ref="C55:AG55">SUM(C57:C62)</f>
        <v>0</v>
      </c>
      <c r="D55" s="232">
        <f t="shared" si="17"/>
        <v>0</v>
      </c>
      <c r="E55" s="232">
        <f t="shared" si="17"/>
        <v>0</v>
      </c>
      <c r="F55" s="232">
        <f t="shared" si="17"/>
        <v>0</v>
      </c>
      <c r="G55" s="232">
        <f t="shared" si="17"/>
        <v>0</v>
      </c>
      <c r="H55" s="232">
        <f t="shared" si="17"/>
        <v>0</v>
      </c>
      <c r="I55" s="232">
        <f t="shared" si="17"/>
        <v>0</v>
      </c>
      <c r="J55" s="232">
        <f t="shared" si="17"/>
        <v>0</v>
      </c>
      <c r="K55" s="232">
        <f t="shared" si="17"/>
        <v>0</v>
      </c>
      <c r="L55" s="232">
        <f t="shared" si="17"/>
        <v>0</v>
      </c>
      <c r="M55" s="325">
        <f t="shared" si="17"/>
        <v>0</v>
      </c>
      <c r="N55" s="325">
        <f t="shared" si="17"/>
        <v>0</v>
      </c>
      <c r="O55" s="325">
        <f t="shared" si="17"/>
        <v>0</v>
      </c>
      <c r="P55" s="325">
        <f t="shared" si="17"/>
        <v>0</v>
      </c>
      <c r="Q55" s="325">
        <f t="shared" si="17"/>
        <v>0</v>
      </c>
      <c r="R55" s="325">
        <f t="shared" si="17"/>
        <v>0</v>
      </c>
      <c r="S55" s="325">
        <f t="shared" si="17"/>
        <v>0</v>
      </c>
      <c r="T55" s="325">
        <f t="shared" si="17"/>
        <v>0</v>
      </c>
      <c r="U55" s="325">
        <f t="shared" si="17"/>
        <v>0</v>
      </c>
      <c r="V55" s="233">
        <f t="shared" si="17"/>
        <v>0</v>
      </c>
      <c r="W55" s="233">
        <f t="shared" si="17"/>
        <v>0</v>
      </c>
      <c r="X55" s="231">
        <f t="shared" si="17"/>
        <v>0</v>
      </c>
      <c r="Y55" s="232" t="e">
        <f t="shared" si="17"/>
        <v>#REF!</v>
      </c>
      <c r="Z55" s="232" t="e">
        <f t="shared" si="17"/>
        <v>#REF!</v>
      </c>
      <c r="AA55" s="232" t="e">
        <f t="shared" si="17"/>
        <v>#REF!</v>
      </c>
      <c r="AB55" s="232">
        <f t="shared" si="17"/>
        <v>0</v>
      </c>
      <c r="AC55" s="233" t="e">
        <f t="shared" si="17"/>
        <v>#REF!</v>
      </c>
      <c r="AD55" s="233" t="e">
        <f t="shared" si="17"/>
        <v>#REF!</v>
      </c>
      <c r="AE55" s="326" t="e">
        <f t="shared" si="17"/>
        <v>#REF!</v>
      </c>
      <c r="AF55" s="205">
        <f t="shared" si="17"/>
        <v>0</v>
      </c>
      <c r="AG55" s="205" t="e">
        <f t="shared" si="17"/>
        <v>#REF!</v>
      </c>
      <c r="AJ55" s="197"/>
    </row>
    <row r="56" spans="1:36" ht="8.25" customHeight="1">
      <c r="A56" s="235"/>
      <c r="B56" s="247"/>
      <c r="C56" s="213"/>
      <c r="D56" s="214"/>
      <c r="E56" s="214"/>
      <c r="F56" s="214"/>
      <c r="G56" s="214"/>
      <c r="H56" s="214"/>
      <c r="I56" s="214"/>
      <c r="J56" s="214"/>
      <c r="K56" s="214"/>
      <c r="L56" s="214"/>
      <c r="M56" s="210"/>
      <c r="N56" s="210"/>
      <c r="O56" s="210"/>
      <c r="P56" s="210"/>
      <c r="Q56" s="210"/>
      <c r="R56" s="210"/>
      <c r="S56" s="210"/>
      <c r="T56" s="210"/>
      <c r="U56" s="210"/>
      <c r="V56" s="211"/>
      <c r="W56" s="16"/>
      <c r="X56" s="213"/>
      <c r="Y56" s="214"/>
      <c r="Z56" s="214"/>
      <c r="AA56" s="214"/>
      <c r="AB56" s="214"/>
      <c r="AC56" s="211"/>
      <c r="AD56" s="26"/>
      <c r="AE56" s="16"/>
      <c r="AF56" s="26"/>
      <c r="AG56" s="26"/>
      <c r="AJ56" s="197"/>
    </row>
    <row r="57" spans="1:36" ht="12.75">
      <c r="A57" s="235" t="s">
        <v>1302</v>
      </c>
      <c r="B57" s="212" t="s">
        <v>1251</v>
      </c>
      <c r="C57" s="213"/>
      <c r="D57" s="214"/>
      <c r="E57" s="214"/>
      <c r="F57" s="214"/>
      <c r="G57" s="214"/>
      <c r="H57" s="214"/>
      <c r="I57" s="214"/>
      <c r="J57" s="214"/>
      <c r="K57" s="214"/>
      <c r="L57" s="214"/>
      <c r="M57" s="210"/>
      <c r="N57" s="210"/>
      <c r="O57" s="210"/>
      <c r="P57" s="210"/>
      <c r="Q57" s="210"/>
      <c r="R57" s="210"/>
      <c r="S57" s="210"/>
      <c r="T57" s="210"/>
      <c r="U57" s="210"/>
      <c r="V57" s="211"/>
      <c r="W57" s="16">
        <f aca="true" t="shared" si="18" ref="W57:W62">SUM(C57:V57)</f>
        <v>0</v>
      </c>
      <c r="X57" s="213"/>
      <c r="Y57" s="214" t="e">
        <f>#REF!</f>
        <v>#REF!</v>
      </c>
      <c r="Z57" s="214"/>
      <c r="AA57" s="214"/>
      <c r="AB57" s="214"/>
      <c r="AC57" s="211"/>
      <c r="AD57" s="26" t="e">
        <f aca="true" t="shared" si="19" ref="AD57:AD62">SUM(X57:AC57)</f>
        <v>#REF!</v>
      </c>
      <c r="AE57" s="16"/>
      <c r="AF57" s="26"/>
      <c r="AG57" s="26" t="e">
        <f aca="true" t="shared" si="20" ref="AG57:AG62">SUM(C57:AF57)-W57-AD57</f>
        <v>#REF!</v>
      </c>
      <c r="AI57" s="15">
        <f>'MLBSS_Receita e Despesa'!C283</f>
        <v>7335936</v>
      </c>
      <c r="AJ57" s="197" t="e">
        <f aca="true" t="shared" si="21" ref="AJ57:AJ63">+AG57-AI57</f>
        <v>#REF!</v>
      </c>
    </row>
    <row r="58" spans="1:36" ht="12.75">
      <c r="A58" s="235" t="s">
        <v>1302</v>
      </c>
      <c r="B58" s="212" t="s">
        <v>201</v>
      </c>
      <c r="C58" s="213"/>
      <c r="D58" s="214"/>
      <c r="E58" s="214"/>
      <c r="F58" s="214"/>
      <c r="G58" s="214"/>
      <c r="H58" s="214"/>
      <c r="I58" s="214"/>
      <c r="J58" s="214"/>
      <c r="K58" s="214"/>
      <c r="L58" s="214"/>
      <c r="M58" s="210"/>
      <c r="N58" s="210"/>
      <c r="O58" s="210"/>
      <c r="P58" s="210"/>
      <c r="Q58" s="210"/>
      <c r="R58" s="210"/>
      <c r="S58" s="210"/>
      <c r="T58" s="210"/>
      <c r="U58" s="210"/>
      <c r="V58" s="211"/>
      <c r="W58" s="16">
        <f t="shared" si="18"/>
        <v>0</v>
      </c>
      <c r="X58" s="213"/>
      <c r="Y58" s="214"/>
      <c r="Z58" s="214" t="e">
        <f>#REF!</f>
        <v>#REF!</v>
      </c>
      <c r="AA58" s="214"/>
      <c r="AB58" s="214"/>
      <c r="AC58" s="211"/>
      <c r="AD58" s="26" t="e">
        <f t="shared" si="19"/>
        <v>#REF!</v>
      </c>
      <c r="AE58" s="16"/>
      <c r="AF58" s="26"/>
      <c r="AG58" s="26" t="e">
        <f t="shared" si="20"/>
        <v>#REF!</v>
      </c>
      <c r="AI58" s="15">
        <f>'MLBSS_Receita e Despesa'!C289</f>
        <v>0</v>
      </c>
      <c r="AJ58" s="197" t="e">
        <f t="shared" si="21"/>
        <v>#REF!</v>
      </c>
    </row>
    <row r="59" spans="1:36" ht="12.75">
      <c r="A59" s="235" t="s">
        <v>1302</v>
      </c>
      <c r="B59" s="212" t="s">
        <v>154</v>
      </c>
      <c r="C59" s="213"/>
      <c r="D59" s="214"/>
      <c r="E59" s="214"/>
      <c r="F59" s="214"/>
      <c r="G59" s="214"/>
      <c r="H59" s="214"/>
      <c r="I59" s="214"/>
      <c r="J59" s="214"/>
      <c r="K59" s="214"/>
      <c r="L59" s="214"/>
      <c r="M59" s="210"/>
      <c r="N59" s="210"/>
      <c r="O59" s="210"/>
      <c r="P59" s="210"/>
      <c r="Q59" s="210"/>
      <c r="R59" s="210"/>
      <c r="S59" s="210"/>
      <c r="T59" s="210"/>
      <c r="U59" s="210"/>
      <c r="V59" s="211"/>
      <c r="W59" s="16">
        <f t="shared" si="18"/>
        <v>0</v>
      </c>
      <c r="X59" s="213"/>
      <c r="Y59" s="214"/>
      <c r="Z59" s="214" t="e">
        <f>#REF!</f>
        <v>#REF!</v>
      </c>
      <c r="AA59" s="214"/>
      <c r="AB59" s="214"/>
      <c r="AC59" s="211"/>
      <c r="AD59" s="26" t="e">
        <f t="shared" si="19"/>
        <v>#REF!</v>
      </c>
      <c r="AE59" s="16"/>
      <c r="AF59" s="26"/>
      <c r="AG59" s="26" t="e">
        <f t="shared" si="20"/>
        <v>#REF!</v>
      </c>
      <c r="AI59" s="15">
        <f>+Receita!G205</f>
        <v>0</v>
      </c>
      <c r="AJ59" s="197" t="e">
        <f t="shared" si="21"/>
        <v>#REF!</v>
      </c>
    </row>
    <row r="60" spans="1:36" ht="12.75">
      <c r="A60" s="235" t="s">
        <v>827</v>
      </c>
      <c r="B60" s="212" t="s">
        <v>308</v>
      </c>
      <c r="C60" s="213"/>
      <c r="D60" s="214"/>
      <c r="E60" s="214"/>
      <c r="F60" s="214"/>
      <c r="G60" s="214"/>
      <c r="H60" s="214"/>
      <c r="I60" s="214"/>
      <c r="J60" s="214"/>
      <c r="K60" s="214"/>
      <c r="L60" s="214"/>
      <c r="M60" s="210"/>
      <c r="N60" s="210"/>
      <c r="O60" s="210"/>
      <c r="P60" s="210"/>
      <c r="Q60" s="210"/>
      <c r="R60" s="210"/>
      <c r="S60" s="210"/>
      <c r="T60" s="210"/>
      <c r="U60" s="210"/>
      <c r="V60" s="211"/>
      <c r="W60" s="16">
        <f t="shared" si="18"/>
        <v>0</v>
      </c>
      <c r="X60" s="213"/>
      <c r="Y60" s="214"/>
      <c r="Z60" s="214"/>
      <c r="AA60" s="214"/>
      <c r="AB60" s="214"/>
      <c r="AC60" s="211" t="e">
        <f>#REF!</f>
        <v>#REF!</v>
      </c>
      <c r="AD60" s="26" t="e">
        <f t="shared" si="19"/>
        <v>#REF!</v>
      </c>
      <c r="AE60" s="16"/>
      <c r="AF60" s="26"/>
      <c r="AG60" s="26" t="e">
        <f t="shared" si="20"/>
        <v>#REF!</v>
      </c>
      <c r="AI60" s="15">
        <f>'MLBSS_Receita e Despesa'!C299</f>
        <v>110</v>
      </c>
      <c r="AJ60" s="197" t="e">
        <f t="shared" si="21"/>
        <v>#REF!</v>
      </c>
    </row>
    <row r="61" spans="1:36" ht="12.75">
      <c r="A61" s="235" t="s">
        <v>828</v>
      </c>
      <c r="B61" s="212" t="s">
        <v>112</v>
      </c>
      <c r="C61" s="213"/>
      <c r="D61" s="214"/>
      <c r="E61" s="214"/>
      <c r="F61" s="214"/>
      <c r="G61" s="214"/>
      <c r="H61" s="214"/>
      <c r="I61" s="214"/>
      <c r="J61" s="214"/>
      <c r="K61" s="214"/>
      <c r="L61" s="214"/>
      <c r="M61" s="210"/>
      <c r="N61" s="210"/>
      <c r="O61" s="210"/>
      <c r="P61" s="210"/>
      <c r="Q61" s="210"/>
      <c r="R61" s="210"/>
      <c r="S61" s="210"/>
      <c r="T61" s="210"/>
      <c r="U61" s="210"/>
      <c r="V61" s="211"/>
      <c r="W61" s="16">
        <f t="shared" si="18"/>
        <v>0</v>
      </c>
      <c r="X61" s="213"/>
      <c r="Y61" s="214"/>
      <c r="Z61" s="214"/>
      <c r="AA61" s="214" t="e">
        <f>#REF!</f>
        <v>#REF!</v>
      </c>
      <c r="AB61" s="214"/>
      <c r="AC61" s="211"/>
      <c r="AD61" s="26" t="e">
        <f t="shared" si="19"/>
        <v>#REF!</v>
      </c>
      <c r="AE61" s="16"/>
      <c r="AF61" s="26"/>
      <c r="AG61" s="26" t="e">
        <f t="shared" si="20"/>
        <v>#REF!</v>
      </c>
      <c r="AI61" s="15">
        <f>'MLBSS_Receita e Despesa'!C297</f>
        <v>0</v>
      </c>
      <c r="AJ61" s="197" t="e">
        <f t="shared" si="21"/>
        <v>#REF!</v>
      </c>
    </row>
    <row r="62" spans="1:36" ht="12.75">
      <c r="A62" s="235" t="s">
        <v>1249</v>
      </c>
      <c r="B62" s="212" t="s">
        <v>1250</v>
      </c>
      <c r="C62" s="213"/>
      <c r="D62" s="214"/>
      <c r="E62" s="214"/>
      <c r="F62" s="214"/>
      <c r="G62" s="214"/>
      <c r="H62" s="214"/>
      <c r="I62" s="214"/>
      <c r="J62" s="214"/>
      <c r="K62" s="214"/>
      <c r="L62" s="214"/>
      <c r="M62" s="210"/>
      <c r="N62" s="210"/>
      <c r="O62" s="210"/>
      <c r="P62" s="210"/>
      <c r="Q62" s="210"/>
      <c r="R62" s="210"/>
      <c r="S62" s="210"/>
      <c r="T62" s="210"/>
      <c r="U62" s="210"/>
      <c r="V62" s="211"/>
      <c r="W62" s="16">
        <f t="shared" si="18"/>
        <v>0</v>
      </c>
      <c r="X62" s="213"/>
      <c r="Y62" s="214"/>
      <c r="Z62" s="214" t="e">
        <f>#REF!</f>
        <v>#REF!</v>
      </c>
      <c r="AA62" s="214"/>
      <c r="AB62" s="214"/>
      <c r="AC62" s="211"/>
      <c r="AD62" s="26" t="e">
        <f t="shared" si="19"/>
        <v>#REF!</v>
      </c>
      <c r="AE62" s="16" t="e">
        <f>#REF!</f>
        <v>#REF!</v>
      </c>
      <c r="AF62" s="26"/>
      <c r="AG62" s="26" t="e">
        <f t="shared" si="20"/>
        <v>#REF!</v>
      </c>
      <c r="AI62" s="15">
        <f>'MLBSS_Receita e Despesa'!C301</f>
        <v>104115</v>
      </c>
      <c r="AJ62" s="197" t="e">
        <f t="shared" si="21"/>
        <v>#REF!</v>
      </c>
    </row>
    <row r="63" spans="1:36" s="33" customFormat="1" ht="12.75">
      <c r="A63" s="255"/>
      <c r="B63" s="246" t="s">
        <v>1295</v>
      </c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325"/>
      <c r="N63" s="325"/>
      <c r="O63" s="325"/>
      <c r="P63" s="325"/>
      <c r="Q63" s="325"/>
      <c r="R63" s="325"/>
      <c r="S63" s="325"/>
      <c r="T63" s="325"/>
      <c r="U63" s="325"/>
      <c r="V63" s="233"/>
      <c r="W63" s="326"/>
      <c r="X63" s="231"/>
      <c r="Y63" s="232"/>
      <c r="Z63" s="232"/>
      <c r="AA63" s="232"/>
      <c r="AB63" s="232"/>
      <c r="AC63" s="233"/>
      <c r="AD63" s="205"/>
      <c r="AE63" s="326"/>
      <c r="AF63" s="205">
        <f>'MLBSS_Receita e Despesa'!C240</f>
        <v>124050712.71</v>
      </c>
      <c r="AG63" s="205">
        <f>SUM(C63:AF63)</f>
        <v>124050712.71</v>
      </c>
      <c r="AI63" s="188">
        <f>'MLBSS_Receita e Despesa'!C240</f>
        <v>124050712.71</v>
      </c>
      <c r="AJ63" s="197">
        <f t="shared" si="21"/>
        <v>0</v>
      </c>
    </row>
    <row r="64" spans="1:33" ht="13.5" thickBot="1">
      <c r="A64" s="235"/>
      <c r="B64" s="212"/>
      <c r="C64" s="213"/>
      <c r="D64" s="214"/>
      <c r="E64" s="214"/>
      <c r="F64" s="214"/>
      <c r="G64" s="214"/>
      <c r="H64" s="214"/>
      <c r="I64" s="214"/>
      <c r="J64" s="214"/>
      <c r="K64" s="214"/>
      <c r="L64" s="214"/>
      <c r="M64" s="210"/>
      <c r="N64" s="210"/>
      <c r="O64" s="210"/>
      <c r="P64" s="210"/>
      <c r="Q64" s="210"/>
      <c r="R64" s="210"/>
      <c r="S64" s="210"/>
      <c r="T64" s="210"/>
      <c r="U64" s="210"/>
      <c r="V64" s="211"/>
      <c r="W64" s="16"/>
      <c r="X64" s="213"/>
      <c r="Y64" s="214"/>
      <c r="Z64" s="214"/>
      <c r="AA64" s="214"/>
      <c r="AB64" s="214"/>
      <c r="AC64" s="211"/>
      <c r="AD64" s="26"/>
      <c r="AE64" s="16"/>
      <c r="AF64" s="26"/>
      <c r="AG64" s="26"/>
    </row>
    <row r="65" spans="1:38" ht="13.5" thickBot="1">
      <c r="A65" s="248" t="s">
        <v>93</v>
      </c>
      <c r="B65" s="249"/>
      <c r="C65" s="250">
        <f aca="true" t="shared" si="22" ref="C65:AE65">C55+C45</f>
        <v>0</v>
      </c>
      <c r="D65" s="251">
        <f t="shared" si="22"/>
        <v>0</v>
      </c>
      <c r="E65" s="251" t="e">
        <f t="shared" si="22"/>
        <v>#REF!</v>
      </c>
      <c r="F65" s="251" t="e">
        <f t="shared" si="22"/>
        <v>#REF!</v>
      </c>
      <c r="G65" s="251">
        <f t="shared" si="22"/>
        <v>0</v>
      </c>
      <c r="H65" s="251" t="e">
        <f t="shared" si="22"/>
        <v>#REF!</v>
      </c>
      <c r="I65" s="251">
        <f t="shared" si="22"/>
        <v>0</v>
      </c>
      <c r="J65" s="251">
        <f t="shared" si="22"/>
        <v>0</v>
      </c>
      <c r="K65" s="251">
        <f t="shared" si="22"/>
        <v>0</v>
      </c>
      <c r="L65" s="251">
        <f t="shared" si="22"/>
        <v>0</v>
      </c>
      <c r="M65" s="327">
        <f t="shared" si="22"/>
        <v>0</v>
      </c>
      <c r="N65" s="327">
        <f t="shared" si="22"/>
        <v>0</v>
      </c>
      <c r="O65" s="327">
        <f t="shared" si="22"/>
        <v>0</v>
      </c>
      <c r="P65" s="327">
        <f t="shared" si="22"/>
        <v>0</v>
      </c>
      <c r="Q65" s="327" t="e">
        <f t="shared" si="22"/>
        <v>#REF!</v>
      </c>
      <c r="R65" s="327" t="e">
        <f t="shared" si="22"/>
        <v>#REF!</v>
      </c>
      <c r="S65" s="327" t="e">
        <f t="shared" si="22"/>
        <v>#REF!</v>
      </c>
      <c r="T65" s="327" t="e">
        <f t="shared" si="22"/>
        <v>#REF!</v>
      </c>
      <c r="U65" s="327" t="e">
        <f t="shared" si="22"/>
        <v>#REF!</v>
      </c>
      <c r="V65" s="252" t="e">
        <f t="shared" si="22"/>
        <v>#REF!</v>
      </c>
      <c r="W65" s="252" t="e">
        <f t="shared" si="22"/>
        <v>#REF!</v>
      </c>
      <c r="X65" s="250">
        <f t="shared" si="22"/>
        <v>0</v>
      </c>
      <c r="Y65" s="251" t="e">
        <f t="shared" si="22"/>
        <v>#REF!</v>
      </c>
      <c r="Z65" s="251" t="e">
        <f t="shared" si="22"/>
        <v>#REF!</v>
      </c>
      <c r="AA65" s="251" t="e">
        <f t="shared" si="22"/>
        <v>#REF!</v>
      </c>
      <c r="AB65" s="251">
        <f t="shared" si="22"/>
        <v>0</v>
      </c>
      <c r="AC65" s="252" t="e">
        <f t="shared" si="22"/>
        <v>#REF!</v>
      </c>
      <c r="AD65" s="252" t="e">
        <f t="shared" si="22"/>
        <v>#REF!</v>
      </c>
      <c r="AE65" s="195" t="e">
        <f t="shared" si="22"/>
        <v>#REF!</v>
      </c>
      <c r="AF65" s="328">
        <f>+AF63</f>
        <v>124050712.71</v>
      </c>
      <c r="AG65" s="253" t="e">
        <f>AG55+AG45+AG63</f>
        <v>#REF!</v>
      </c>
      <c r="AI65" s="254">
        <f>'MLBSS_Receita e Despesa'!C240+'MLBSS_Receita e Despesa'!C242+'MLBSS_Receita e Despesa'!C279</f>
        <v>1776189715.71</v>
      </c>
      <c r="AJ65" s="15" t="e">
        <f>AG65-AI65</f>
        <v>#REF!</v>
      </c>
      <c r="AK65" s="15" t="e">
        <f>SUM(AJ47:AJ63)</f>
        <v>#REF!</v>
      </c>
      <c r="AL65" s="15" t="e">
        <f>AJ65-AK65</f>
        <v>#REF!</v>
      </c>
    </row>
    <row r="67" spans="1:33" ht="25.5">
      <c r="A67" s="220"/>
      <c r="B67" s="318" t="s">
        <v>1300</v>
      </c>
      <c r="C67" s="221" t="s">
        <v>1162</v>
      </c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317"/>
      <c r="Q67" s="317"/>
      <c r="R67" s="222"/>
      <c r="S67" s="222"/>
      <c r="T67" s="222"/>
      <c r="U67" s="222"/>
      <c r="V67" s="223"/>
      <c r="W67" s="222"/>
      <c r="X67" s="221" t="s">
        <v>1163</v>
      </c>
      <c r="Y67" s="222"/>
      <c r="Z67" s="222"/>
      <c r="AA67" s="222"/>
      <c r="AB67" s="222"/>
      <c r="AC67" s="222"/>
      <c r="AD67" s="222"/>
      <c r="AE67" s="319" t="s">
        <v>1164</v>
      </c>
      <c r="AF67" s="320" t="s">
        <v>1532</v>
      </c>
      <c r="AG67" s="200"/>
    </row>
    <row r="68" spans="1:33" s="202" customFormat="1" ht="25.5">
      <c r="A68" s="359"/>
      <c r="B68" s="357" t="s">
        <v>652</v>
      </c>
      <c r="C68" s="225" t="s">
        <v>1533</v>
      </c>
      <c r="D68" s="226" t="s">
        <v>1534</v>
      </c>
      <c r="E68" s="226" t="s">
        <v>1535</v>
      </c>
      <c r="F68" s="226" t="s">
        <v>1020</v>
      </c>
      <c r="G68" s="226" t="s">
        <v>1021</v>
      </c>
      <c r="H68" s="226" t="s">
        <v>1022</v>
      </c>
      <c r="I68" s="226" t="s">
        <v>1023</v>
      </c>
      <c r="J68" s="226" t="s">
        <v>1024</v>
      </c>
      <c r="K68" s="226" t="s">
        <v>1025</v>
      </c>
      <c r="L68" s="226" t="s">
        <v>1026</v>
      </c>
      <c r="M68" s="226" t="s">
        <v>252</v>
      </c>
      <c r="N68" s="226" t="s">
        <v>253</v>
      </c>
      <c r="O68" s="226" t="s">
        <v>12</v>
      </c>
      <c r="P68" s="321" t="s">
        <v>1133</v>
      </c>
      <c r="Q68" s="321" t="s">
        <v>1134</v>
      </c>
      <c r="R68" s="226" t="s">
        <v>42</v>
      </c>
      <c r="S68" s="226" t="s">
        <v>43</v>
      </c>
      <c r="T68" s="226" t="s">
        <v>44</v>
      </c>
      <c r="U68" s="226" t="s">
        <v>45</v>
      </c>
      <c r="V68" s="228" t="s">
        <v>997</v>
      </c>
      <c r="W68" s="322" t="s">
        <v>998</v>
      </c>
      <c r="X68" s="225" t="s">
        <v>254</v>
      </c>
      <c r="Y68" s="226" t="s">
        <v>999</v>
      </c>
      <c r="Z68" s="226" t="s">
        <v>1000</v>
      </c>
      <c r="AA68" s="226" t="s">
        <v>1001</v>
      </c>
      <c r="AB68" s="226" t="s">
        <v>1002</v>
      </c>
      <c r="AC68" s="228" t="s">
        <v>1003</v>
      </c>
      <c r="AD68" s="329" t="s">
        <v>1004</v>
      </c>
      <c r="AE68" s="330" t="s">
        <v>1005</v>
      </c>
      <c r="AF68" s="229" t="s">
        <v>1006</v>
      </c>
      <c r="AG68" s="265" t="s">
        <v>920</v>
      </c>
    </row>
    <row r="69" spans="1:33" ht="17.25" customHeight="1">
      <c r="A69" s="220"/>
      <c r="B69" s="230" t="s">
        <v>1162</v>
      </c>
      <c r="C69" s="231" t="e">
        <f aca="true" t="shared" si="23" ref="C69:AG69">SUM(C71:C83)</f>
        <v>#REF!</v>
      </c>
      <c r="D69" s="232" t="e">
        <f t="shared" si="23"/>
        <v>#REF!</v>
      </c>
      <c r="E69" s="232" t="e">
        <f t="shared" si="23"/>
        <v>#REF!</v>
      </c>
      <c r="F69" s="232" t="e">
        <f t="shared" si="23"/>
        <v>#REF!</v>
      </c>
      <c r="G69" s="232" t="e">
        <f t="shared" si="23"/>
        <v>#REF!</v>
      </c>
      <c r="H69" s="232" t="e">
        <f t="shared" si="23"/>
        <v>#REF!</v>
      </c>
      <c r="I69" s="232" t="e">
        <f t="shared" si="23"/>
        <v>#REF!</v>
      </c>
      <c r="J69" s="232" t="e">
        <f t="shared" si="23"/>
        <v>#REF!</v>
      </c>
      <c r="K69" s="232" t="e">
        <f t="shared" si="23"/>
        <v>#REF!</v>
      </c>
      <c r="L69" s="232" t="e">
        <f t="shared" si="23"/>
        <v>#REF!</v>
      </c>
      <c r="M69" s="325" t="e">
        <f t="shared" si="23"/>
        <v>#REF!</v>
      </c>
      <c r="N69" s="325" t="e">
        <f t="shared" si="23"/>
        <v>#REF!</v>
      </c>
      <c r="O69" s="325">
        <f t="shared" si="23"/>
        <v>0</v>
      </c>
      <c r="P69" s="325" t="e">
        <f t="shared" si="23"/>
        <v>#REF!</v>
      </c>
      <c r="Q69" s="325" t="e">
        <f t="shared" si="23"/>
        <v>#REF!</v>
      </c>
      <c r="R69" s="325">
        <f t="shared" si="23"/>
        <v>0</v>
      </c>
      <c r="S69" s="325" t="e">
        <f t="shared" si="23"/>
        <v>#REF!</v>
      </c>
      <c r="T69" s="325" t="e">
        <f t="shared" si="23"/>
        <v>#REF!</v>
      </c>
      <c r="U69" s="325" t="e">
        <f t="shared" si="23"/>
        <v>#REF!</v>
      </c>
      <c r="V69" s="233" t="e">
        <f t="shared" si="23"/>
        <v>#REF!</v>
      </c>
      <c r="W69" s="233" t="e">
        <f t="shared" si="23"/>
        <v>#REF!</v>
      </c>
      <c r="X69" s="231" t="e">
        <f t="shared" si="23"/>
        <v>#REF!</v>
      </c>
      <c r="Y69" s="232">
        <f t="shared" si="23"/>
        <v>0</v>
      </c>
      <c r="Z69" s="232">
        <f t="shared" si="23"/>
        <v>0</v>
      </c>
      <c r="AA69" s="232">
        <f t="shared" si="23"/>
        <v>0</v>
      </c>
      <c r="AB69" s="232">
        <f t="shared" si="23"/>
        <v>0</v>
      </c>
      <c r="AC69" s="233" t="e">
        <f t="shared" si="23"/>
        <v>#REF!</v>
      </c>
      <c r="AD69" s="233" t="e">
        <f t="shared" si="23"/>
        <v>#REF!</v>
      </c>
      <c r="AE69" s="326" t="e">
        <f t="shared" si="23"/>
        <v>#REF!</v>
      </c>
      <c r="AF69" s="205">
        <f t="shared" si="23"/>
        <v>0</v>
      </c>
      <c r="AG69" s="234" t="e">
        <f t="shared" si="23"/>
        <v>#REF!</v>
      </c>
    </row>
    <row r="70" spans="1:33" ht="8.25" customHeight="1">
      <c r="A70" s="235"/>
      <c r="B70" s="236"/>
      <c r="C70" s="237"/>
      <c r="D70" s="238"/>
      <c r="E70" s="238"/>
      <c r="F70" s="238"/>
      <c r="G70" s="238"/>
      <c r="H70" s="238"/>
      <c r="I70" s="238"/>
      <c r="J70" s="238"/>
      <c r="K70" s="238"/>
      <c r="L70" s="238"/>
      <c r="M70" s="239"/>
      <c r="N70" s="239"/>
      <c r="O70" s="239"/>
      <c r="P70" s="239"/>
      <c r="Q70" s="239"/>
      <c r="R70" s="239"/>
      <c r="S70" s="239"/>
      <c r="T70" s="239"/>
      <c r="U70" s="239"/>
      <c r="V70" s="240"/>
      <c r="W70" s="17"/>
      <c r="X70" s="237"/>
      <c r="Y70" s="238"/>
      <c r="Z70" s="238"/>
      <c r="AA70" s="238"/>
      <c r="AB70" s="238"/>
      <c r="AC70" s="240"/>
      <c r="AD70" s="27"/>
      <c r="AE70" s="17"/>
      <c r="AF70" s="27"/>
      <c r="AG70" s="191"/>
    </row>
    <row r="71" spans="1:36" s="245" customFormat="1" ht="12.75" customHeight="1">
      <c r="A71" s="192" t="s">
        <v>628</v>
      </c>
      <c r="B71" s="209" t="s">
        <v>1007</v>
      </c>
      <c r="C71" s="241" t="e">
        <f>#REF!</f>
        <v>#REF!</v>
      </c>
      <c r="D71" s="242" t="e">
        <f>#REF!</f>
        <v>#REF!</v>
      </c>
      <c r="E71" s="242"/>
      <c r="F71" s="242"/>
      <c r="G71" s="242"/>
      <c r="H71" s="242"/>
      <c r="I71" s="242"/>
      <c r="J71" s="242"/>
      <c r="K71" s="242"/>
      <c r="L71" s="242"/>
      <c r="M71" s="243"/>
      <c r="N71" s="243"/>
      <c r="O71" s="243"/>
      <c r="P71" s="243"/>
      <c r="Q71" s="243"/>
      <c r="R71" s="243"/>
      <c r="S71" s="243"/>
      <c r="T71" s="243"/>
      <c r="U71" s="243"/>
      <c r="V71" s="244"/>
      <c r="W71" s="189" t="e">
        <f aca="true" t="shared" si="24" ref="W71:W83">SUM(C71:V71)</f>
        <v>#REF!</v>
      </c>
      <c r="X71" s="241"/>
      <c r="Y71" s="242"/>
      <c r="Z71" s="242"/>
      <c r="AA71" s="242"/>
      <c r="AB71" s="242"/>
      <c r="AC71" s="244"/>
      <c r="AD71" s="194">
        <f aca="true" t="shared" si="25" ref="AD71:AD83">SUM(X71:AC71)</f>
        <v>0</v>
      </c>
      <c r="AE71" s="189"/>
      <c r="AF71" s="194"/>
      <c r="AG71" s="219" t="e">
        <f aca="true" t="shared" si="26" ref="AG71:AG83">SUM(C71:AF71)-W71-AD71</f>
        <v>#REF!</v>
      </c>
      <c r="AI71" s="197">
        <f>'MLBSS_Receita e Despesa'!C354</f>
        <v>14111774907</v>
      </c>
      <c r="AJ71" s="197" t="e">
        <f aca="true" t="shared" si="27" ref="AJ71:AJ83">+AG71-AI71</f>
        <v>#REF!</v>
      </c>
    </row>
    <row r="72" spans="1:36" ht="12.75">
      <c r="A72" s="208" t="s">
        <v>629</v>
      </c>
      <c r="B72" s="209" t="s">
        <v>457</v>
      </c>
      <c r="C72" s="213" t="e">
        <f>#REF!</f>
        <v>#REF!</v>
      </c>
      <c r="D72" s="242"/>
      <c r="E72" s="214"/>
      <c r="F72" s="214"/>
      <c r="G72" s="214"/>
      <c r="H72" s="214"/>
      <c r="I72" s="214"/>
      <c r="J72" s="214"/>
      <c r="K72" s="214"/>
      <c r="L72" s="214"/>
      <c r="M72" s="210"/>
      <c r="N72" s="210"/>
      <c r="O72" s="210"/>
      <c r="P72" s="210"/>
      <c r="Q72" s="210"/>
      <c r="R72" s="210"/>
      <c r="S72" s="210"/>
      <c r="T72" s="210"/>
      <c r="U72" s="210"/>
      <c r="V72" s="211"/>
      <c r="W72" s="16" t="e">
        <f t="shared" si="24"/>
        <v>#REF!</v>
      </c>
      <c r="X72" s="213"/>
      <c r="Y72" s="214"/>
      <c r="Z72" s="214"/>
      <c r="AA72" s="214"/>
      <c r="AB72" s="214"/>
      <c r="AC72" s="211"/>
      <c r="AD72" s="26">
        <f t="shared" si="25"/>
        <v>0</v>
      </c>
      <c r="AE72" s="16"/>
      <c r="AF72" s="26"/>
      <c r="AG72" s="219" t="e">
        <f t="shared" si="26"/>
        <v>#REF!</v>
      </c>
      <c r="AI72" s="15">
        <f>'MLBSS_Receita e Despesa'!C358</f>
        <v>0</v>
      </c>
      <c r="AJ72" s="197" t="e">
        <f t="shared" si="27"/>
        <v>#REF!</v>
      </c>
    </row>
    <row r="73" spans="1:36" ht="12.75">
      <c r="A73" s="208" t="s">
        <v>458</v>
      </c>
      <c r="B73" s="209" t="s">
        <v>24</v>
      </c>
      <c r="C73" s="213"/>
      <c r="D73" s="214"/>
      <c r="E73" s="214"/>
      <c r="F73" s="214"/>
      <c r="G73" s="214" t="e">
        <f>#REF!</f>
        <v>#REF!</v>
      </c>
      <c r="H73" s="214" t="e">
        <f>#REF!</f>
        <v>#REF!</v>
      </c>
      <c r="I73" s="214" t="e">
        <f>#REF!</f>
        <v>#REF!</v>
      </c>
      <c r="J73" s="214" t="e">
        <f>#REF!</f>
        <v>#REF!</v>
      </c>
      <c r="K73" s="214" t="e">
        <f>#REF!</f>
        <v>#REF!</v>
      </c>
      <c r="L73" s="214" t="e">
        <f>#REF!</f>
        <v>#REF!</v>
      </c>
      <c r="M73" s="210" t="e">
        <f>#REF!</f>
        <v>#REF!</v>
      </c>
      <c r="N73" s="210" t="e">
        <f>#REF!</f>
        <v>#REF!</v>
      </c>
      <c r="O73" s="210"/>
      <c r="P73" s="210" t="e">
        <f>#REF!</f>
        <v>#REF!</v>
      </c>
      <c r="Q73" s="210"/>
      <c r="R73" s="210"/>
      <c r="S73" s="210"/>
      <c r="T73" s="210"/>
      <c r="U73" s="210"/>
      <c r="V73" s="211"/>
      <c r="W73" s="16" t="e">
        <f t="shared" si="24"/>
        <v>#REF!</v>
      </c>
      <c r="X73" s="213"/>
      <c r="Y73" s="214"/>
      <c r="Z73" s="214"/>
      <c r="AA73" s="214"/>
      <c r="AB73" s="214"/>
      <c r="AC73" s="211"/>
      <c r="AD73" s="26">
        <f t="shared" si="25"/>
        <v>0</v>
      </c>
      <c r="AE73" s="16"/>
      <c r="AF73" s="26"/>
      <c r="AG73" s="219" t="e">
        <f t="shared" si="26"/>
        <v>#REF!</v>
      </c>
      <c r="AI73" s="15">
        <f>'MLBSS_Receita e Despesa'!C361</f>
        <v>45050000</v>
      </c>
      <c r="AJ73" s="197" t="e">
        <f t="shared" si="27"/>
        <v>#REF!</v>
      </c>
    </row>
    <row r="74" spans="1:36" ht="12.75">
      <c r="A74" s="192" t="s">
        <v>1394</v>
      </c>
      <c r="B74" s="193" t="s">
        <v>1314</v>
      </c>
      <c r="C74" s="213"/>
      <c r="D74" s="214"/>
      <c r="E74" s="214" t="e">
        <f>#REF!</f>
        <v>#REF!</v>
      </c>
      <c r="F74" s="214" t="e">
        <f>#REF!</f>
        <v>#REF!</v>
      </c>
      <c r="G74" s="214"/>
      <c r="H74" s="214"/>
      <c r="I74" s="214"/>
      <c r="J74" s="214"/>
      <c r="K74" s="214"/>
      <c r="L74" s="214"/>
      <c r="M74" s="210"/>
      <c r="N74" s="210"/>
      <c r="O74" s="210"/>
      <c r="P74" s="210"/>
      <c r="Q74" s="210" t="e">
        <f>#REF!</f>
        <v>#REF!</v>
      </c>
      <c r="R74" s="210"/>
      <c r="S74" s="210"/>
      <c r="T74" s="210" t="e">
        <f>#REF!+#REF!</f>
        <v>#REF!</v>
      </c>
      <c r="U74" s="210" t="e">
        <f>#REF!+#REF!</f>
        <v>#REF!</v>
      </c>
      <c r="V74" s="211" t="e">
        <f>#REF!+#REF!</f>
        <v>#REF!</v>
      </c>
      <c r="W74" s="16" t="e">
        <f t="shared" si="24"/>
        <v>#REF!</v>
      </c>
      <c r="X74" s="213" t="e">
        <f>#REF!</f>
        <v>#REF!</v>
      </c>
      <c r="Y74" s="214"/>
      <c r="Z74" s="214"/>
      <c r="AA74" s="214"/>
      <c r="AB74" s="214"/>
      <c r="AC74" s="211" t="e">
        <f>#REF!</f>
        <v>#REF!</v>
      </c>
      <c r="AD74" s="26" t="e">
        <f t="shared" si="25"/>
        <v>#REF!</v>
      </c>
      <c r="AE74" s="16" t="e">
        <f>#REF!+#REF!</f>
        <v>#REF!</v>
      </c>
      <c r="AF74" s="26"/>
      <c r="AG74" s="219" t="e">
        <f t="shared" si="26"/>
        <v>#REF!</v>
      </c>
      <c r="AI74" s="15">
        <f>'MLBSS_Receita e Despesa'!C364</f>
        <v>232002172</v>
      </c>
      <c r="AJ74" s="197" t="e">
        <f t="shared" si="27"/>
        <v>#REF!</v>
      </c>
    </row>
    <row r="75" spans="1:36" ht="12.75">
      <c r="A75" s="192" t="s">
        <v>369</v>
      </c>
      <c r="B75" s="193" t="s">
        <v>957</v>
      </c>
      <c r="C75" s="213"/>
      <c r="D75" s="214"/>
      <c r="E75" s="214"/>
      <c r="F75" s="214"/>
      <c r="G75" s="214"/>
      <c r="H75" s="214"/>
      <c r="I75" s="214"/>
      <c r="J75" s="214"/>
      <c r="K75" s="214"/>
      <c r="L75" s="214"/>
      <c r="M75" s="210"/>
      <c r="N75" s="210"/>
      <c r="O75" s="210"/>
      <c r="P75" s="210"/>
      <c r="Q75" s="210" t="e">
        <f>SUM(#REF!)</f>
        <v>#REF!</v>
      </c>
      <c r="R75" s="210"/>
      <c r="S75" s="210"/>
      <c r="T75" s="210"/>
      <c r="U75" s="210"/>
      <c r="V75" s="211" t="e">
        <f>#REF!</f>
        <v>#REF!</v>
      </c>
      <c r="W75" s="16" t="e">
        <f t="shared" si="24"/>
        <v>#REF!</v>
      </c>
      <c r="X75" s="213"/>
      <c r="Y75" s="214"/>
      <c r="Z75" s="214"/>
      <c r="AA75" s="214"/>
      <c r="AB75" s="214"/>
      <c r="AC75" s="211"/>
      <c r="AD75" s="26">
        <f t="shared" si="25"/>
        <v>0</v>
      </c>
      <c r="AE75" s="16"/>
      <c r="AF75" s="26"/>
      <c r="AG75" s="219" t="e">
        <f t="shared" si="26"/>
        <v>#REF!</v>
      </c>
      <c r="AI75" s="15">
        <f>'MLBSS_Receita e Despesa'!C366</f>
        <v>3448109</v>
      </c>
      <c r="AJ75" s="197" t="e">
        <f t="shared" si="27"/>
        <v>#REF!</v>
      </c>
    </row>
    <row r="76" spans="1:36" ht="12.75">
      <c r="A76" s="192" t="s">
        <v>958</v>
      </c>
      <c r="B76" s="193" t="s">
        <v>30</v>
      </c>
      <c r="C76" s="213"/>
      <c r="D76" s="214"/>
      <c r="E76" s="214"/>
      <c r="F76" s="214"/>
      <c r="G76" s="214"/>
      <c r="H76" s="214"/>
      <c r="I76" s="214"/>
      <c r="J76" s="214"/>
      <c r="K76" s="214"/>
      <c r="L76" s="214"/>
      <c r="M76" s="210"/>
      <c r="N76" s="210"/>
      <c r="O76" s="210"/>
      <c r="P76" s="210"/>
      <c r="Q76" s="210" t="e">
        <f>#REF!</f>
        <v>#REF!</v>
      </c>
      <c r="R76" s="210"/>
      <c r="S76" s="210"/>
      <c r="T76" s="210"/>
      <c r="U76" s="210"/>
      <c r="V76" s="211"/>
      <c r="W76" s="16" t="e">
        <f t="shared" si="24"/>
        <v>#REF!</v>
      </c>
      <c r="X76" s="213"/>
      <c r="Y76" s="214"/>
      <c r="Z76" s="214"/>
      <c r="AA76" s="214"/>
      <c r="AB76" s="214"/>
      <c r="AC76" s="211"/>
      <c r="AD76" s="26">
        <f t="shared" si="25"/>
        <v>0</v>
      </c>
      <c r="AE76" s="16"/>
      <c r="AF76" s="26"/>
      <c r="AG76" s="219" t="e">
        <f t="shared" si="26"/>
        <v>#REF!</v>
      </c>
      <c r="AI76" s="15">
        <f>'MLBSS_Receita e Despesa'!C372</f>
        <v>117796178</v>
      </c>
      <c r="AJ76" s="197" t="e">
        <f t="shared" si="27"/>
        <v>#REF!</v>
      </c>
    </row>
    <row r="77" spans="1:36" ht="12.75">
      <c r="A77" s="192" t="s">
        <v>31</v>
      </c>
      <c r="B77" s="193" t="s">
        <v>1340</v>
      </c>
      <c r="C77" s="213"/>
      <c r="D77" s="214"/>
      <c r="E77" s="214"/>
      <c r="F77" s="214"/>
      <c r="G77" s="214"/>
      <c r="H77" s="214"/>
      <c r="I77" s="214"/>
      <c r="J77" s="214"/>
      <c r="K77" s="214"/>
      <c r="L77" s="214"/>
      <c r="M77" s="210"/>
      <c r="N77" s="210"/>
      <c r="O77" s="210"/>
      <c r="P77" s="210"/>
      <c r="Q77" s="210"/>
      <c r="R77" s="210"/>
      <c r="S77" s="210"/>
      <c r="T77" s="210"/>
      <c r="U77" s="210"/>
      <c r="V77" s="211" t="e">
        <f>#REF!</f>
        <v>#REF!</v>
      </c>
      <c r="W77" s="16" t="e">
        <f t="shared" si="24"/>
        <v>#REF!</v>
      </c>
      <c r="X77" s="213"/>
      <c r="Y77" s="214"/>
      <c r="Z77" s="214"/>
      <c r="AA77" s="214"/>
      <c r="AB77" s="214"/>
      <c r="AC77" s="211"/>
      <c r="AD77" s="26">
        <f t="shared" si="25"/>
        <v>0</v>
      </c>
      <c r="AE77" s="16" t="e">
        <f>#REF!</f>
        <v>#REF!</v>
      </c>
      <c r="AF77" s="26"/>
      <c r="AG77" s="219" t="e">
        <f t="shared" si="26"/>
        <v>#REF!</v>
      </c>
      <c r="AI77" s="15">
        <f>'MLBSS_Receita e Despesa'!C385</f>
        <v>5530000</v>
      </c>
      <c r="AJ77" s="197" t="e">
        <f t="shared" si="27"/>
        <v>#REF!</v>
      </c>
    </row>
    <row r="78" spans="1:36" ht="12.75">
      <c r="A78" s="192" t="s">
        <v>32</v>
      </c>
      <c r="B78" s="193" t="s">
        <v>1417</v>
      </c>
      <c r="C78" s="213"/>
      <c r="D78" s="214"/>
      <c r="E78" s="214"/>
      <c r="F78" s="214"/>
      <c r="G78" s="214"/>
      <c r="H78" s="214" t="e">
        <f>#REF!</f>
        <v>#REF!</v>
      </c>
      <c r="I78" s="214"/>
      <c r="J78" s="214"/>
      <c r="K78" s="214"/>
      <c r="L78" s="214"/>
      <c r="M78" s="210"/>
      <c r="N78" s="210"/>
      <c r="O78" s="210"/>
      <c r="P78" s="210"/>
      <c r="Q78" s="210"/>
      <c r="R78" s="210"/>
      <c r="S78" s="210"/>
      <c r="T78" s="210"/>
      <c r="U78" s="210"/>
      <c r="V78" s="211"/>
      <c r="W78" s="16" t="e">
        <f t="shared" si="24"/>
        <v>#REF!</v>
      </c>
      <c r="X78" s="213"/>
      <c r="Y78" s="214"/>
      <c r="Z78" s="214"/>
      <c r="AA78" s="214"/>
      <c r="AB78" s="214"/>
      <c r="AC78" s="211"/>
      <c r="AD78" s="26">
        <f t="shared" si="25"/>
        <v>0</v>
      </c>
      <c r="AE78" s="16"/>
      <c r="AF78" s="26"/>
      <c r="AG78" s="219" t="e">
        <f t="shared" si="26"/>
        <v>#REF!</v>
      </c>
      <c r="AI78" s="15">
        <f>'MLBSS_Receita e Despesa'!C386</f>
        <v>30000</v>
      </c>
      <c r="AJ78" s="197" t="e">
        <f t="shared" si="27"/>
        <v>#REF!</v>
      </c>
    </row>
    <row r="79" spans="1:37" ht="12.75">
      <c r="A79" s="192" t="s">
        <v>1315</v>
      </c>
      <c r="B79" s="193" t="s">
        <v>1563</v>
      </c>
      <c r="C79" s="213"/>
      <c r="D79" s="214"/>
      <c r="E79" s="214"/>
      <c r="F79" s="214"/>
      <c r="G79" s="214"/>
      <c r="H79" s="214"/>
      <c r="I79" s="214"/>
      <c r="J79" s="214"/>
      <c r="K79" s="214"/>
      <c r="L79" s="214"/>
      <c r="M79" s="210"/>
      <c r="N79" s="210"/>
      <c r="O79" s="210"/>
      <c r="P79" s="210"/>
      <c r="Q79" s="210" t="e">
        <f>#REF!+#REF!+#REF!</f>
        <v>#REF!</v>
      </c>
      <c r="R79" s="210"/>
      <c r="S79" s="210"/>
      <c r="T79" s="210"/>
      <c r="U79" s="210"/>
      <c r="V79" s="211" t="e">
        <f>#REF!</f>
        <v>#REF!</v>
      </c>
      <c r="W79" s="16" t="e">
        <f t="shared" si="24"/>
        <v>#REF!</v>
      </c>
      <c r="X79" s="213"/>
      <c r="Y79" s="214"/>
      <c r="Z79" s="214"/>
      <c r="AA79" s="214"/>
      <c r="AB79" s="214"/>
      <c r="AC79" s="211"/>
      <c r="AD79" s="26">
        <f t="shared" si="25"/>
        <v>0</v>
      </c>
      <c r="AE79" s="16"/>
      <c r="AF79" s="26"/>
      <c r="AG79" s="219" t="e">
        <f t="shared" si="26"/>
        <v>#REF!</v>
      </c>
      <c r="AI79" s="15">
        <f>'MLBSS_Receita e Despesa'!C391</f>
        <v>0</v>
      </c>
      <c r="AJ79" s="197" t="e">
        <f t="shared" si="27"/>
        <v>#REF!</v>
      </c>
      <c r="AK79" s="15">
        <f>Receita!G323+Receita!G326+Receita!G329+Receita!G368</f>
        <v>0</v>
      </c>
    </row>
    <row r="80" spans="1:36" ht="12.75">
      <c r="A80" s="192" t="s">
        <v>845</v>
      </c>
      <c r="B80" s="193" t="s">
        <v>1149</v>
      </c>
      <c r="C80" s="213"/>
      <c r="D80" s="214"/>
      <c r="E80" s="214"/>
      <c r="F80" s="214"/>
      <c r="G80" s="214"/>
      <c r="H80" s="214"/>
      <c r="I80" s="214"/>
      <c r="J80" s="214"/>
      <c r="K80" s="214"/>
      <c r="L80" s="214"/>
      <c r="M80" s="210"/>
      <c r="N80" s="210"/>
      <c r="O80" s="210"/>
      <c r="P80" s="210"/>
      <c r="Q80" s="210" t="e">
        <f>#REF!</f>
        <v>#REF!</v>
      </c>
      <c r="R80" s="210"/>
      <c r="S80" s="210"/>
      <c r="T80" s="210"/>
      <c r="U80" s="210"/>
      <c r="V80" s="211"/>
      <c r="W80" s="16" t="e">
        <f t="shared" si="24"/>
        <v>#REF!</v>
      </c>
      <c r="X80" s="213"/>
      <c r="Y80" s="214"/>
      <c r="Z80" s="214"/>
      <c r="AA80" s="214"/>
      <c r="AB80" s="214"/>
      <c r="AC80" s="211"/>
      <c r="AD80" s="26">
        <f t="shared" si="25"/>
        <v>0</v>
      </c>
      <c r="AE80" s="16"/>
      <c r="AF80" s="26"/>
      <c r="AG80" s="219" t="e">
        <f t="shared" si="26"/>
        <v>#REF!</v>
      </c>
      <c r="AI80" s="15">
        <f>'MLBSS_Receita e Despesa'!C393</f>
        <v>0</v>
      </c>
      <c r="AJ80" s="197" t="e">
        <f t="shared" si="27"/>
        <v>#REF!</v>
      </c>
    </row>
    <row r="81" spans="1:36" ht="12.75">
      <c r="A81" s="192" t="s">
        <v>812</v>
      </c>
      <c r="B81" s="193" t="s">
        <v>479</v>
      </c>
      <c r="C81" s="213"/>
      <c r="D81" s="214"/>
      <c r="E81" s="214"/>
      <c r="F81" s="214"/>
      <c r="G81" s="214"/>
      <c r="H81" s="214"/>
      <c r="I81" s="214"/>
      <c r="J81" s="214"/>
      <c r="K81" s="214"/>
      <c r="L81" s="214"/>
      <c r="M81" s="210"/>
      <c r="N81" s="210"/>
      <c r="O81" s="210"/>
      <c r="P81" s="210"/>
      <c r="Q81" s="210" t="e">
        <f>SUM(#REF!)</f>
        <v>#REF!</v>
      </c>
      <c r="R81" s="210"/>
      <c r="S81" s="210"/>
      <c r="T81" s="210"/>
      <c r="U81" s="210"/>
      <c r="V81" s="211" t="e">
        <f>#REF!</f>
        <v>#REF!</v>
      </c>
      <c r="W81" s="16" t="e">
        <f t="shared" si="24"/>
        <v>#REF!</v>
      </c>
      <c r="X81" s="213"/>
      <c r="Y81" s="214"/>
      <c r="Z81" s="214"/>
      <c r="AA81" s="214"/>
      <c r="AB81" s="214"/>
      <c r="AC81" s="211"/>
      <c r="AD81" s="26">
        <f t="shared" si="25"/>
        <v>0</v>
      </c>
      <c r="AE81" s="16"/>
      <c r="AF81" s="26"/>
      <c r="AG81" s="219" t="e">
        <f t="shared" si="26"/>
        <v>#REF!</v>
      </c>
      <c r="AI81" s="15">
        <f>'MLBSS_Receita e Despesa'!C379</f>
        <v>16751000</v>
      </c>
      <c r="AJ81" s="197" t="e">
        <f t="shared" si="27"/>
        <v>#REF!</v>
      </c>
    </row>
    <row r="82" spans="1:36" ht="12.75">
      <c r="A82" s="192" t="s">
        <v>548</v>
      </c>
      <c r="B82" s="193" t="s">
        <v>550</v>
      </c>
      <c r="C82" s="213"/>
      <c r="D82" s="214"/>
      <c r="E82" s="214"/>
      <c r="F82" s="214" t="e">
        <f>#REF!</f>
        <v>#REF!</v>
      </c>
      <c r="G82" s="214"/>
      <c r="H82" s="214"/>
      <c r="I82" s="214"/>
      <c r="J82" s="214"/>
      <c r="K82" s="214"/>
      <c r="L82" s="214"/>
      <c r="M82" s="210"/>
      <c r="N82" s="210"/>
      <c r="O82" s="210"/>
      <c r="P82" s="210"/>
      <c r="Q82" s="210"/>
      <c r="R82" s="210"/>
      <c r="S82" s="210"/>
      <c r="T82" s="210"/>
      <c r="U82" s="210"/>
      <c r="V82" s="211"/>
      <c r="W82" s="16" t="e">
        <f t="shared" si="24"/>
        <v>#REF!</v>
      </c>
      <c r="X82" s="213"/>
      <c r="Y82" s="214"/>
      <c r="Z82" s="214"/>
      <c r="AA82" s="214"/>
      <c r="AB82" s="214"/>
      <c r="AC82" s="211"/>
      <c r="AD82" s="26">
        <f t="shared" si="25"/>
        <v>0</v>
      </c>
      <c r="AE82" s="16" t="e">
        <f>#REF!</f>
        <v>#REF!</v>
      </c>
      <c r="AF82" s="26"/>
      <c r="AG82" s="219" t="e">
        <f t="shared" si="26"/>
        <v>#REF!</v>
      </c>
      <c r="AI82" s="15">
        <f>'MLBSS_Receita e Despesa'!C382</f>
        <v>4250000</v>
      </c>
      <c r="AJ82" s="197" t="e">
        <f t="shared" si="27"/>
        <v>#REF!</v>
      </c>
    </row>
    <row r="83" spans="1:36" ht="12.75">
      <c r="A83" s="192" t="s">
        <v>549</v>
      </c>
      <c r="B83" s="209" t="s">
        <v>482</v>
      </c>
      <c r="C83" s="213"/>
      <c r="D83" s="214"/>
      <c r="E83" s="214"/>
      <c r="F83" s="214" t="e">
        <f>#REF!</f>
        <v>#REF!</v>
      </c>
      <c r="G83" s="214"/>
      <c r="H83" s="214" t="e">
        <f>#REF!</f>
        <v>#REF!</v>
      </c>
      <c r="I83" s="214"/>
      <c r="J83" s="214"/>
      <c r="K83" s="214"/>
      <c r="L83" s="214"/>
      <c r="M83" s="210"/>
      <c r="N83" s="210"/>
      <c r="O83" s="210"/>
      <c r="P83" s="210"/>
      <c r="Q83" s="210"/>
      <c r="R83" s="210"/>
      <c r="S83" s="269" t="e">
        <f>#REF!+#REF!</f>
        <v>#REF!</v>
      </c>
      <c r="T83" s="210"/>
      <c r="U83" s="210"/>
      <c r="V83" s="211"/>
      <c r="W83" s="16" t="e">
        <f t="shared" si="24"/>
        <v>#REF!</v>
      </c>
      <c r="X83" s="213"/>
      <c r="Y83" s="214"/>
      <c r="Z83" s="214"/>
      <c r="AA83" s="214"/>
      <c r="AB83" s="214"/>
      <c r="AC83" s="211"/>
      <c r="AD83" s="26">
        <f t="shared" si="25"/>
        <v>0</v>
      </c>
      <c r="AE83" s="16" t="e">
        <f>#REF!</f>
        <v>#REF!</v>
      </c>
      <c r="AF83" s="26"/>
      <c r="AG83" s="219" t="e">
        <f t="shared" si="26"/>
        <v>#REF!</v>
      </c>
      <c r="AI83" s="15">
        <f>'MLBSS_Receita e Despesa'!C377+'MLBSS_Receita e Despesa'!C381+'MLBSS_Receita e Despesa'!C388</f>
        <v>1357469607</v>
      </c>
      <c r="AJ83" s="197" t="e">
        <f t="shared" si="27"/>
        <v>#REF!</v>
      </c>
    </row>
    <row r="84" spans="1:36" ht="17.25" customHeight="1">
      <c r="A84" s="220"/>
      <c r="B84" s="246" t="s">
        <v>1163</v>
      </c>
      <c r="C84" s="231">
        <f aca="true" t="shared" si="28" ref="C84:AG84">SUM(C85:C87)</f>
        <v>0</v>
      </c>
      <c r="D84" s="232">
        <f t="shared" si="28"/>
        <v>0</v>
      </c>
      <c r="E84" s="232">
        <f t="shared" si="28"/>
        <v>0</v>
      </c>
      <c r="F84" s="232">
        <f t="shared" si="28"/>
        <v>0</v>
      </c>
      <c r="G84" s="232">
        <f t="shared" si="28"/>
        <v>0</v>
      </c>
      <c r="H84" s="232">
        <f t="shared" si="28"/>
        <v>0</v>
      </c>
      <c r="I84" s="232">
        <f t="shared" si="28"/>
        <v>0</v>
      </c>
      <c r="J84" s="232">
        <f t="shared" si="28"/>
        <v>0</v>
      </c>
      <c r="K84" s="232">
        <f t="shared" si="28"/>
        <v>0</v>
      </c>
      <c r="L84" s="232">
        <f t="shared" si="28"/>
        <v>0</v>
      </c>
      <c r="M84" s="325">
        <f t="shared" si="28"/>
        <v>0</v>
      </c>
      <c r="N84" s="325">
        <f t="shared" si="28"/>
        <v>0</v>
      </c>
      <c r="O84" s="325">
        <f t="shared" si="28"/>
        <v>0</v>
      </c>
      <c r="P84" s="325">
        <f t="shared" si="28"/>
        <v>0</v>
      </c>
      <c r="Q84" s="325">
        <f t="shared" si="28"/>
        <v>0</v>
      </c>
      <c r="R84" s="325">
        <f t="shared" si="28"/>
        <v>0</v>
      </c>
      <c r="S84" s="325">
        <f t="shared" si="28"/>
        <v>0</v>
      </c>
      <c r="T84" s="325">
        <f t="shared" si="28"/>
        <v>0</v>
      </c>
      <c r="U84" s="325">
        <f t="shared" si="28"/>
        <v>0</v>
      </c>
      <c r="V84" s="233">
        <f t="shared" si="28"/>
        <v>0</v>
      </c>
      <c r="W84" s="233">
        <f t="shared" si="28"/>
        <v>0</v>
      </c>
      <c r="X84" s="231" t="e">
        <f t="shared" si="28"/>
        <v>#REF!</v>
      </c>
      <c r="Y84" s="232" t="e">
        <f t="shared" si="28"/>
        <v>#REF!</v>
      </c>
      <c r="Z84" s="232">
        <f t="shared" si="28"/>
        <v>0</v>
      </c>
      <c r="AA84" s="232" t="e">
        <f t="shared" si="28"/>
        <v>#REF!</v>
      </c>
      <c r="AB84" s="232" t="e">
        <f t="shared" si="28"/>
        <v>#REF!</v>
      </c>
      <c r="AC84" s="233" t="e">
        <f t="shared" si="28"/>
        <v>#REF!</v>
      </c>
      <c r="AD84" s="233" t="e">
        <f t="shared" si="28"/>
        <v>#REF!</v>
      </c>
      <c r="AE84" s="326">
        <f t="shared" si="28"/>
        <v>0</v>
      </c>
      <c r="AF84" s="205">
        <f t="shared" si="28"/>
        <v>0</v>
      </c>
      <c r="AG84" s="205" t="e">
        <f t="shared" si="28"/>
        <v>#REF!</v>
      </c>
      <c r="AJ84" s="197"/>
    </row>
    <row r="85" spans="1:36" ht="12.75">
      <c r="A85" s="235" t="s">
        <v>538</v>
      </c>
      <c r="B85" s="193" t="s">
        <v>1601</v>
      </c>
      <c r="C85" s="213"/>
      <c r="D85" s="214"/>
      <c r="E85" s="214"/>
      <c r="F85" s="214"/>
      <c r="G85" s="214"/>
      <c r="H85" s="214"/>
      <c r="I85" s="214"/>
      <c r="J85" s="214"/>
      <c r="K85" s="214"/>
      <c r="L85" s="214"/>
      <c r="M85" s="210"/>
      <c r="N85" s="210"/>
      <c r="O85" s="210"/>
      <c r="P85" s="210"/>
      <c r="Q85" s="210"/>
      <c r="R85" s="210"/>
      <c r="S85" s="210"/>
      <c r="T85" s="210"/>
      <c r="U85" s="210"/>
      <c r="V85" s="211"/>
      <c r="W85" s="16"/>
      <c r="X85" s="213"/>
      <c r="Y85" s="214"/>
      <c r="Z85" s="214"/>
      <c r="AA85" s="214" t="e">
        <f>#REF!</f>
        <v>#REF!</v>
      </c>
      <c r="AB85" s="214" t="e">
        <f>#REF!</f>
        <v>#REF!</v>
      </c>
      <c r="AC85" s="211"/>
      <c r="AD85" s="26" t="e">
        <f>SUM(X85:AC85)</f>
        <v>#REF!</v>
      </c>
      <c r="AE85" s="16"/>
      <c r="AF85" s="26"/>
      <c r="AG85" s="26" t="e">
        <f>SUM(C85:AF85)-W85-AD85</f>
        <v>#REF!</v>
      </c>
      <c r="AI85" s="15">
        <f>'MLBSS_Receita e Despesa'!C427+'MLBSS_Receita e Despesa'!C431</f>
        <v>100</v>
      </c>
      <c r="AJ85" s="197" t="e">
        <f>+AG85-AI85</f>
        <v>#REF!</v>
      </c>
    </row>
    <row r="86" spans="1:36" ht="12.75">
      <c r="A86" s="235" t="s">
        <v>1600</v>
      </c>
      <c r="B86" s="193" t="s">
        <v>99</v>
      </c>
      <c r="C86" s="213"/>
      <c r="D86" s="214"/>
      <c r="E86" s="214"/>
      <c r="F86" s="214"/>
      <c r="G86" s="214"/>
      <c r="H86" s="214"/>
      <c r="I86" s="214"/>
      <c r="J86" s="214"/>
      <c r="K86" s="214"/>
      <c r="L86" s="214"/>
      <c r="M86" s="210"/>
      <c r="N86" s="210"/>
      <c r="O86" s="210"/>
      <c r="P86" s="210"/>
      <c r="Q86" s="210"/>
      <c r="R86" s="210"/>
      <c r="S86" s="210"/>
      <c r="T86" s="210"/>
      <c r="U86" s="210"/>
      <c r="V86" s="211"/>
      <c r="W86" s="16">
        <f>SUM(C86:V86)</f>
        <v>0</v>
      </c>
      <c r="X86" s="213"/>
      <c r="Y86" s="214" t="e">
        <f>#REF!</f>
        <v>#REF!</v>
      </c>
      <c r="Z86" s="214"/>
      <c r="AA86" s="214"/>
      <c r="AB86" s="214"/>
      <c r="AC86" s="211"/>
      <c r="AD86" s="26" t="e">
        <f>SUM(X86:AC86)</f>
        <v>#REF!</v>
      </c>
      <c r="AE86" s="16"/>
      <c r="AF86" s="26"/>
      <c r="AG86" s="26" t="e">
        <f>SUM(C86:AF86)-W86-AD86</f>
        <v>#REF!</v>
      </c>
      <c r="AI86" s="15">
        <f>'MLBSS_Receita e Despesa'!C433</f>
        <v>10</v>
      </c>
      <c r="AJ86" s="15" t="e">
        <f>+AG86-AI86</f>
        <v>#REF!</v>
      </c>
    </row>
    <row r="87" spans="1:36" ht="12.75">
      <c r="A87" s="235" t="s">
        <v>265</v>
      </c>
      <c r="B87" s="212" t="s">
        <v>308</v>
      </c>
      <c r="C87" s="213"/>
      <c r="D87" s="214"/>
      <c r="E87" s="214"/>
      <c r="F87" s="214"/>
      <c r="G87" s="214"/>
      <c r="H87" s="214"/>
      <c r="I87" s="214"/>
      <c r="J87" s="214"/>
      <c r="K87" s="214"/>
      <c r="L87" s="214"/>
      <c r="M87" s="210"/>
      <c r="N87" s="210"/>
      <c r="O87" s="210"/>
      <c r="P87" s="210"/>
      <c r="Q87" s="210"/>
      <c r="R87" s="210"/>
      <c r="S87" s="210"/>
      <c r="T87" s="210"/>
      <c r="U87" s="210"/>
      <c r="V87" s="211"/>
      <c r="W87" s="16"/>
      <c r="X87" s="213" t="e">
        <f>#REF!</f>
        <v>#REF!</v>
      </c>
      <c r="Y87" s="214"/>
      <c r="Z87" s="214"/>
      <c r="AA87" s="214" t="e">
        <f>SUM(#REF!)</f>
        <v>#REF!</v>
      </c>
      <c r="AB87" s="214"/>
      <c r="AC87" s="211" t="e">
        <f>#REF!</f>
        <v>#REF!</v>
      </c>
      <c r="AD87" s="26" t="e">
        <f>SUM(X87:AC87)</f>
        <v>#REF!</v>
      </c>
      <c r="AE87" s="16"/>
      <c r="AF87" s="26"/>
      <c r="AG87" s="26" t="e">
        <f>SUM(C87:AF87)-W87-AD87</f>
        <v>#REF!</v>
      </c>
      <c r="AI87" s="15">
        <f>'MLBSS_Receita e Despesa'!C435+'MLBSS_Receita e Despesa'!C436</f>
        <v>25480372</v>
      </c>
      <c r="AJ87" s="15" t="e">
        <f>+AG87-AI87</f>
        <v>#REF!</v>
      </c>
    </row>
    <row r="88" spans="1:36" ht="12.75">
      <c r="A88" s="255"/>
      <c r="B88" s="246" t="s">
        <v>1295</v>
      </c>
      <c r="C88" s="340"/>
      <c r="D88" s="341"/>
      <c r="E88" s="341"/>
      <c r="F88" s="341"/>
      <c r="G88" s="341"/>
      <c r="H88" s="341"/>
      <c r="I88" s="341"/>
      <c r="J88" s="341"/>
      <c r="K88" s="341"/>
      <c r="L88" s="341"/>
      <c r="M88" s="342"/>
      <c r="N88" s="342"/>
      <c r="O88" s="342"/>
      <c r="P88" s="342"/>
      <c r="Q88" s="342"/>
      <c r="R88" s="342"/>
      <c r="S88" s="342"/>
      <c r="T88" s="342"/>
      <c r="U88" s="342"/>
      <c r="V88" s="343"/>
      <c r="W88" s="344">
        <f>SUM(C88:V88)</f>
        <v>0</v>
      </c>
      <c r="X88" s="340"/>
      <c r="Y88" s="341"/>
      <c r="Z88" s="341"/>
      <c r="AA88" s="341"/>
      <c r="AB88" s="341"/>
      <c r="AC88" s="343"/>
      <c r="AD88" s="200">
        <f>SUM(X88:AC88)</f>
        <v>0</v>
      </c>
      <c r="AE88" s="344"/>
      <c r="AF88" s="587">
        <f>'MLBSS_Receita e Despesa'!D350</f>
        <v>1445238541.115</v>
      </c>
      <c r="AG88" s="200">
        <f>SUM(C88:AF88)-W88-AD88</f>
        <v>1445238541.115</v>
      </c>
      <c r="AI88" s="15">
        <f>'MLBSS_Receita e Despesa'!C350</f>
        <v>1445238541.115</v>
      </c>
      <c r="AJ88" s="15">
        <f>+AG88-AI88</f>
        <v>0</v>
      </c>
    </row>
    <row r="89" spans="1:35" ht="13.5" thickBot="1">
      <c r="A89" s="235"/>
      <c r="B89" s="212"/>
      <c r="C89" s="213"/>
      <c r="D89" s="214"/>
      <c r="E89" s="214"/>
      <c r="F89" s="214"/>
      <c r="G89" s="214"/>
      <c r="H89" s="214"/>
      <c r="I89" s="214"/>
      <c r="J89" s="214"/>
      <c r="K89" s="214"/>
      <c r="L89" s="214"/>
      <c r="M89" s="210"/>
      <c r="N89" s="210"/>
      <c r="O89" s="210"/>
      <c r="P89" s="210"/>
      <c r="Q89" s="210"/>
      <c r="R89" s="210"/>
      <c r="S89" s="210"/>
      <c r="T89" s="210"/>
      <c r="U89" s="210"/>
      <c r="V89" s="211"/>
      <c r="W89" s="16"/>
      <c r="X89" s="213"/>
      <c r="Y89" s="214"/>
      <c r="Z89" s="214"/>
      <c r="AA89" s="214"/>
      <c r="AB89" s="214"/>
      <c r="AC89" s="211"/>
      <c r="AD89" s="26"/>
      <c r="AE89" s="16"/>
      <c r="AF89" s="26"/>
      <c r="AG89" s="26"/>
      <c r="AI89" s="15"/>
    </row>
    <row r="90" spans="1:38" ht="13.5" thickBot="1">
      <c r="A90" s="248" t="s">
        <v>7</v>
      </c>
      <c r="B90" s="249"/>
      <c r="C90" s="250" t="e">
        <f aca="true" t="shared" si="29" ref="C90:AE90">C84+C69</f>
        <v>#REF!</v>
      </c>
      <c r="D90" s="251" t="e">
        <f t="shared" si="29"/>
        <v>#REF!</v>
      </c>
      <c r="E90" s="251" t="e">
        <f t="shared" si="29"/>
        <v>#REF!</v>
      </c>
      <c r="F90" s="251" t="e">
        <f t="shared" si="29"/>
        <v>#REF!</v>
      </c>
      <c r="G90" s="251" t="e">
        <f t="shared" si="29"/>
        <v>#REF!</v>
      </c>
      <c r="H90" s="251" t="e">
        <f t="shared" si="29"/>
        <v>#REF!</v>
      </c>
      <c r="I90" s="251" t="e">
        <f t="shared" si="29"/>
        <v>#REF!</v>
      </c>
      <c r="J90" s="251" t="e">
        <f t="shared" si="29"/>
        <v>#REF!</v>
      </c>
      <c r="K90" s="251" t="e">
        <f t="shared" si="29"/>
        <v>#REF!</v>
      </c>
      <c r="L90" s="251" t="e">
        <f t="shared" si="29"/>
        <v>#REF!</v>
      </c>
      <c r="M90" s="327" t="e">
        <f t="shared" si="29"/>
        <v>#REF!</v>
      </c>
      <c r="N90" s="327" t="e">
        <f t="shared" si="29"/>
        <v>#REF!</v>
      </c>
      <c r="O90" s="327">
        <f t="shared" si="29"/>
        <v>0</v>
      </c>
      <c r="P90" s="327" t="e">
        <f t="shared" si="29"/>
        <v>#REF!</v>
      </c>
      <c r="Q90" s="327" t="e">
        <f t="shared" si="29"/>
        <v>#REF!</v>
      </c>
      <c r="R90" s="327">
        <f t="shared" si="29"/>
        <v>0</v>
      </c>
      <c r="S90" s="327" t="e">
        <f t="shared" si="29"/>
        <v>#REF!</v>
      </c>
      <c r="T90" s="327" t="e">
        <f t="shared" si="29"/>
        <v>#REF!</v>
      </c>
      <c r="U90" s="327" t="e">
        <f t="shared" si="29"/>
        <v>#REF!</v>
      </c>
      <c r="V90" s="252" t="e">
        <f t="shared" si="29"/>
        <v>#REF!</v>
      </c>
      <c r="W90" s="252" t="e">
        <f t="shared" si="29"/>
        <v>#REF!</v>
      </c>
      <c r="X90" s="250" t="e">
        <f t="shared" si="29"/>
        <v>#REF!</v>
      </c>
      <c r="Y90" s="251" t="e">
        <f t="shared" si="29"/>
        <v>#REF!</v>
      </c>
      <c r="Z90" s="251">
        <f t="shared" si="29"/>
        <v>0</v>
      </c>
      <c r="AA90" s="251" t="e">
        <f t="shared" si="29"/>
        <v>#REF!</v>
      </c>
      <c r="AB90" s="251" t="e">
        <f t="shared" si="29"/>
        <v>#REF!</v>
      </c>
      <c r="AC90" s="252" t="e">
        <f t="shared" si="29"/>
        <v>#REF!</v>
      </c>
      <c r="AD90" s="252" t="e">
        <f t="shared" si="29"/>
        <v>#REF!</v>
      </c>
      <c r="AE90" s="195" t="e">
        <f t="shared" si="29"/>
        <v>#REF!</v>
      </c>
      <c r="AF90" s="328">
        <f>AF84+AF69+AF88</f>
        <v>1445238541.115</v>
      </c>
      <c r="AG90" s="253" t="e">
        <f>AG84+AG69+AG88</f>
        <v>#REF!</v>
      </c>
      <c r="AI90" s="254">
        <f>'MLBSS_Receita e Despesa'!C423+'MLBSS_Receita e Despesa'!C352+'MLBSS_Receita e Despesa'!C350</f>
        <v>17626584934.115</v>
      </c>
      <c r="AJ90" s="15" t="e">
        <f>AG90-AI90</f>
        <v>#REF!</v>
      </c>
      <c r="AK90" s="15" t="e">
        <f>SUM(AJ71:AJ88)</f>
        <v>#REF!</v>
      </c>
      <c r="AL90" s="15" t="e">
        <f>AJ90-AK90</f>
        <v>#REF!</v>
      </c>
    </row>
    <row r="93" spans="1:33" ht="25.5">
      <c r="A93" s="220"/>
      <c r="B93" s="318" t="s">
        <v>1300</v>
      </c>
      <c r="C93" s="221" t="s">
        <v>1162</v>
      </c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22"/>
      <c r="O93" s="222"/>
      <c r="P93" s="317"/>
      <c r="Q93" s="317"/>
      <c r="R93" s="222"/>
      <c r="S93" s="222"/>
      <c r="T93" s="222"/>
      <c r="U93" s="222"/>
      <c r="V93" s="223"/>
      <c r="W93" s="222"/>
      <c r="X93" s="221" t="s">
        <v>1163</v>
      </c>
      <c r="Y93" s="222"/>
      <c r="Z93" s="222"/>
      <c r="AA93" s="222"/>
      <c r="AB93" s="222"/>
      <c r="AC93" s="222"/>
      <c r="AD93" s="222"/>
      <c r="AE93" s="319" t="s">
        <v>1164</v>
      </c>
      <c r="AF93" s="320" t="s">
        <v>1532</v>
      </c>
      <c r="AG93" s="200"/>
    </row>
    <row r="94" spans="1:33" s="202" customFormat="1" ht="25.5">
      <c r="A94" s="359"/>
      <c r="B94" s="224" t="s">
        <v>1333</v>
      </c>
      <c r="C94" s="225" t="s">
        <v>1533</v>
      </c>
      <c r="D94" s="226" t="s">
        <v>1534</v>
      </c>
      <c r="E94" s="226" t="s">
        <v>1535</v>
      </c>
      <c r="F94" s="226" t="s">
        <v>1020</v>
      </c>
      <c r="G94" s="226" t="s">
        <v>1021</v>
      </c>
      <c r="H94" s="226" t="s">
        <v>1022</v>
      </c>
      <c r="I94" s="226" t="s">
        <v>1023</v>
      </c>
      <c r="J94" s="226" t="s">
        <v>1024</v>
      </c>
      <c r="K94" s="226" t="s">
        <v>1025</v>
      </c>
      <c r="L94" s="226" t="s">
        <v>1026</v>
      </c>
      <c r="M94" s="226" t="s">
        <v>252</v>
      </c>
      <c r="N94" s="226" t="s">
        <v>253</v>
      </c>
      <c r="O94" s="226" t="s">
        <v>12</v>
      </c>
      <c r="P94" s="321" t="s">
        <v>1133</v>
      </c>
      <c r="Q94" s="321" t="s">
        <v>1134</v>
      </c>
      <c r="R94" s="226" t="s">
        <v>42</v>
      </c>
      <c r="S94" s="226" t="s">
        <v>43</v>
      </c>
      <c r="T94" s="226" t="s">
        <v>44</v>
      </c>
      <c r="U94" s="226" t="s">
        <v>45</v>
      </c>
      <c r="V94" s="228" t="s">
        <v>997</v>
      </c>
      <c r="W94" s="322" t="s">
        <v>998</v>
      </c>
      <c r="X94" s="225" t="s">
        <v>254</v>
      </c>
      <c r="Y94" s="226" t="s">
        <v>999</v>
      </c>
      <c r="Z94" s="226" t="s">
        <v>1000</v>
      </c>
      <c r="AA94" s="226" t="s">
        <v>1001</v>
      </c>
      <c r="AB94" s="226" t="s">
        <v>1002</v>
      </c>
      <c r="AC94" s="228" t="s">
        <v>1003</v>
      </c>
      <c r="AD94" s="329" t="s">
        <v>1004</v>
      </c>
      <c r="AE94" s="330" t="s">
        <v>1005</v>
      </c>
      <c r="AF94" s="229" t="s">
        <v>1006</v>
      </c>
      <c r="AG94" s="265" t="s">
        <v>920</v>
      </c>
    </row>
    <row r="95" spans="1:35" ht="17.25" customHeight="1">
      <c r="A95" s="220"/>
      <c r="B95" s="230" t="s">
        <v>1162</v>
      </c>
      <c r="C95" s="231" t="e">
        <f aca="true" t="shared" si="30" ref="C95:AG95">SUM(C97:C99)</f>
        <v>#REF!</v>
      </c>
      <c r="D95" s="232">
        <f t="shared" si="30"/>
        <v>0</v>
      </c>
      <c r="E95" s="232">
        <f t="shared" si="30"/>
        <v>0</v>
      </c>
      <c r="F95" s="232">
        <f t="shared" si="30"/>
        <v>0</v>
      </c>
      <c r="G95" s="232" t="e">
        <f t="shared" si="30"/>
        <v>#REF!</v>
      </c>
      <c r="H95" s="232" t="e">
        <f t="shared" si="30"/>
        <v>#REF!</v>
      </c>
      <c r="I95" s="232" t="e">
        <f t="shared" si="30"/>
        <v>#REF!</v>
      </c>
      <c r="J95" s="232">
        <f t="shared" si="30"/>
        <v>0</v>
      </c>
      <c r="K95" s="232">
        <f t="shared" si="30"/>
        <v>0</v>
      </c>
      <c r="L95" s="232" t="e">
        <f t="shared" si="30"/>
        <v>#REF!</v>
      </c>
      <c r="M95" s="325" t="e">
        <f t="shared" si="30"/>
        <v>#REF!</v>
      </c>
      <c r="N95" s="325" t="e">
        <f t="shared" si="30"/>
        <v>#REF!</v>
      </c>
      <c r="O95" s="325">
        <f t="shared" si="30"/>
        <v>0</v>
      </c>
      <c r="P95" s="325" t="e">
        <f t="shared" si="30"/>
        <v>#REF!</v>
      </c>
      <c r="Q95" s="325">
        <f t="shared" si="30"/>
        <v>0</v>
      </c>
      <c r="R95" s="325">
        <f t="shared" si="30"/>
        <v>0</v>
      </c>
      <c r="S95" s="325">
        <f t="shared" si="30"/>
        <v>0</v>
      </c>
      <c r="T95" s="325" t="e">
        <f t="shared" si="30"/>
        <v>#REF!</v>
      </c>
      <c r="U95" s="325" t="e">
        <f t="shared" si="30"/>
        <v>#REF!</v>
      </c>
      <c r="V95" s="233">
        <f t="shared" si="30"/>
        <v>0</v>
      </c>
      <c r="W95" s="233" t="e">
        <f t="shared" si="30"/>
        <v>#REF!</v>
      </c>
      <c r="X95" s="231">
        <f t="shared" si="30"/>
        <v>0</v>
      </c>
      <c r="Y95" s="232">
        <f t="shared" si="30"/>
        <v>0</v>
      </c>
      <c r="Z95" s="232">
        <f t="shared" si="30"/>
        <v>0</v>
      </c>
      <c r="AA95" s="232">
        <f t="shared" si="30"/>
        <v>0</v>
      </c>
      <c r="AB95" s="232">
        <f t="shared" si="30"/>
        <v>0</v>
      </c>
      <c r="AC95" s="233">
        <f t="shared" si="30"/>
        <v>0</v>
      </c>
      <c r="AD95" s="205">
        <f t="shared" si="30"/>
        <v>0</v>
      </c>
      <c r="AE95" s="326">
        <f t="shared" si="30"/>
        <v>0</v>
      </c>
      <c r="AF95" s="205">
        <f t="shared" si="30"/>
        <v>0</v>
      </c>
      <c r="AG95" s="234" t="e">
        <f t="shared" si="30"/>
        <v>#REF!</v>
      </c>
      <c r="AI95" s="15"/>
    </row>
    <row r="96" spans="1:33" ht="8.25" customHeight="1">
      <c r="A96" s="235"/>
      <c r="B96" s="236"/>
      <c r="C96" s="237"/>
      <c r="D96" s="238"/>
      <c r="E96" s="238"/>
      <c r="F96" s="238"/>
      <c r="G96" s="238"/>
      <c r="H96" s="238"/>
      <c r="I96" s="238"/>
      <c r="J96" s="238"/>
      <c r="K96" s="238"/>
      <c r="L96" s="238"/>
      <c r="M96" s="239"/>
      <c r="N96" s="239"/>
      <c r="O96" s="239"/>
      <c r="P96" s="239"/>
      <c r="Q96" s="239"/>
      <c r="R96" s="239"/>
      <c r="S96" s="239"/>
      <c r="T96" s="239"/>
      <c r="U96" s="239"/>
      <c r="V96" s="240"/>
      <c r="W96" s="17"/>
      <c r="X96" s="237"/>
      <c r="Y96" s="238"/>
      <c r="Z96" s="238"/>
      <c r="AA96" s="238"/>
      <c r="AB96" s="238"/>
      <c r="AC96" s="240"/>
      <c r="AD96" s="27"/>
      <c r="AE96" s="17"/>
      <c r="AF96" s="27"/>
      <c r="AG96" s="191"/>
    </row>
    <row r="97" spans="1:36" ht="12.75">
      <c r="A97" s="208" t="s">
        <v>1602</v>
      </c>
      <c r="B97" s="209" t="s">
        <v>251</v>
      </c>
      <c r="C97" s="213" t="e">
        <f>#REF!</f>
        <v>#REF!</v>
      </c>
      <c r="D97" s="214"/>
      <c r="E97" s="214"/>
      <c r="F97" s="214"/>
      <c r="G97" s="214"/>
      <c r="H97" s="214"/>
      <c r="I97" s="214"/>
      <c r="J97" s="214"/>
      <c r="K97" s="214"/>
      <c r="L97" s="214"/>
      <c r="M97" s="210"/>
      <c r="N97" s="210"/>
      <c r="O97" s="210"/>
      <c r="P97" s="210"/>
      <c r="Q97" s="210"/>
      <c r="R97" s="210"/>
      <c r="S97" s="210"/>
      <c r="T97" s="210"/>
      <c r="U97" s="210"/>
      <c r="V97" s="211"/>
      <c r="W97" s="16" t="e">
        <f>SUM(C97:V97)</f>
        <v>#REF!</v>
      </c>
      <c r="X97" s="213"/>
      <c r="Y97" s="214"/>
      <c r="Z97" s="214"/>
      <c r="AA97" s="214"/>
      <c r="AB97" s="214"/>
      <c r="AC97" s="211"/>
      <c r="AD97" s="26">
        <f>SUM(X97:AC97)</f>
        <v>0</v>
      </c>
      <c r="AE97" s="16"/>
      <c r="AF97" s="26"/>
      <c r="AG97" s="219" t="e">
        <f>SUM(C97:AF97)-W97-AD97</f>
        <v>#REF!</v>
      </c>
      <c r="AI97" s="15">
        <f>'MLBSS_Receita e Despesa'!C476</f>
        <v>0</v>
      </c>
      <c r="AJ97" s="15" t="e">
        <f>AG97-AI97</f>
        <v>#REF!</v>
      </c>
    </row>
    <row r="98" spans="1:36" ht="12.75">
      <c r="A98" s="208" t="s">
        <v>1603</v>
      </c>
      <c r="B98" s="209" t="s">
        <v>24</v>
      </c>
      <c r="C98" s="213"/>
      <c r="D98" s="214"/>
      <c r="E98" s="214"/>
      <c r="F98" s="214"/>
      <c r="G98" s="214" t="e">
        <f>#REF!</f>
        <v>#REF!</v>
      </c>
      <c r="H98" s="214" t="e">
        <f>#REF!</f>
        <v>#REF!</v>
      </c>
      <c r="I98" s="214" t="e">
        <f>#REF!</f>
        <v>#REF!</v>
      </c>
      <c r="J98" s="214"/>
      <c r="K98" s="214"/>
      <c r="L98" s="214" t="e">
        <f>#REF!</f>
        <v>#REF!</v>
      </c>
      <c r="M98" s="210" t="e">
        <f>#REF!</f>
        <v>#REF!</v>
      </c>
      <c r="N98" s="210" t="e">
        <f>#REF!</f>
        <v>#REF!</v>
      </c>
      <c r="O98" s="210"/>
      <c r="P98" s="210" t="e">
        <f>#REF!</f>
        <v>#REF!</v>
      </c>
      <c r="Q98" s="210"/>
      <c r="R98" s="210"/>
      <c r="S98" s="210"/>
      <c r="T98" s="210"/>
      <c r="U98" s="210"/>
      <c r="V98" s="211"/>
      <c r="W98" s="16" t="e">
        <f>SUM(C98:V98)</f>
        <v>#REF!</v>
      </c>
      <c r="X98" s="213"/>
      <c r="Y98" s="214"/>
      <c r="Z98" s="214"/>
      <c r="AA98" s="214"/>
      <c r="AB98" s="214"/>
      <c r="AC98" s="211"/>
      <c r="AD98" s="26">
        <f>SUM(X98:AC98)</f>
        <v>0</v>
      </c>
      <c r="AE98" s="16"/>
      <c r="AF98" s="26"/>
      <c r="AG98" s="219" t="e">
        <f>SUM(C98:AF98)-W98-AD98</f>
        <v>#REF!</v>
      </c>
      <c r="AI98" s="15">
        <f>'MLBSS_Receita e Despesa'!C477</f>
        <v>344765300</v>
      </c>
      <c r="AJ98" s="15" t="e">
        <f>AG98-AI98</f>
        <v>#REF!</v>
      </c>
    </row>
    <row r="99" spans="1:36" ht="12.75">
      <c r="A99" s="208" t="s">
        <v>1604</v>
      </c>
      <c r="B99" s="209" t="s">
        <v>27</v>
      </c>
      <c r="C99" s="213"/>
      <c r="D99" s="214"/>
      <c r="E99" s="214"/>
      <c r="F99" s="214"/>
      <c r="G99" s="214"/>
      <c r="H99" s="214"/>
      <c r="I99" s="214"/>
      <c r="J99" s="214"/>
      <c r="K99" s="214"/>
      <c r="L99" s="214"/>
      <c r="M99" s="210"/>
      <c r="N99" s="210"/>
      <c r="O99" s="210"/>
      <c r="P99" s="210"/>
      <c r="Q99" s="210"/>
      <c r="R99" s="210"/>
      <c r="S99" s="210"/>
      <c r="T99" s="210" t="e">
        <f>#REF!</f>
        <v>#REF!</v>
      </c>
      <c r="U99" s="210" t="e">
        <f>#REF!</f>
        <v>#REF!</v>
      </c>
      <c r="V99" s="211"/>
      <c r="W99" s="16" t="e">
        <f>SUM(C99:V99)</f>
        <v>#REF!</v>
      </c>
      <c r="X99" s="213"/>
      <c r="Y99" s="214"/>
      <c r="Z99" s="214"/>
      <c r="AA99" s="214"/>
      <c r="AB99" s="214"/>
      <c r="AC99" s="211"/>
      <c r="AD99" s="26">
        <f>SUM(X99:AC99)</f>
        <v>0</v>
      </c>
      <c r="AE99" s="16"/>
      <c r="AF99" s="26"/>
      <c r="AG99" s="219" t="e">
        <f>SUM(C99:AF99)-W99-AD99</f>
        <v>#REF!</v>
      </c>
      <c r="AI99" s="15">
        <f>'MLBSS_Receita e Despesa'!C478</f>
        <v>38000</v>
      </c>
      <c r="AJ99" s="15" t="e">
        <f>AG99-AI99</f>
        <v>#REF!</v>
      </c>
    </row>
    <row r="100" spans="1:36" ht="17.25" customHeight="1">
      <c r="A100" s="220"/>
      <c r="B100" s="246" t="s">
        <v>1163</v>
      </c>
      <c r="C100" s="231">
        <f aca="true" t="shared" si="31" ref="C100:AG100">SUM(C102:C103)</f>
        <v>0</v>
      </c>
      <c r="D100" s="231">
        <f t="shared" si="31"/>
        <v>0</v>
      </c>
      <c r="E100" s="231">
        <f t="shared" si="31"/>
        <v>0</v>
      </c>
      <c r="F100" s="231">
        <f t="shared" si="31"/>
        <v>0</v>
      </c>
      <c r="G100" s="231">
        <f t="shared" si="31"/>
        <v>0</v>
      </c>
      <c r="H100" s="231">
        <f t="shared" si="31"/>
        <v>0</v>
      </c>
      <c r="I100" s="231">
        <f t="shared" si="31"/>
        <v>0</v>
      </c>
      <c r="J100" s="231">
        <f t="shared" si="31"/>
        <v>0</v>
      </c>
      <c r="K100" s="231">
        <f t="shared" si="31"/>
        <v>0</v>
      </c>
      <c r="L100" s="231">
        <f t="shared" si="31"/>
        <v>0</v>
      </c>
      <c r="M100" s="231">
        <f t="shared" si="31"/>
        <v>0</v>
      </c>
      <c r="N100" s="231">
        <f t="shared" si="31"/>
        <v>0</v>
      </c>
      <c r="O100" s="231">
        <f t="shared" si="31"/>
        <v>0</v>
      </c>
      <c r="P100" s="231">
        <f t="shared" si="31"/>
        <v>0</v>
      </c>
      <c r="Q100" s="231">
        <f t="shared" si="31"/>
        <v>0</v>
      </c>
      <c r="R100" s="231">
        <f t="shared" si="31"/>
        <v>0</v>
      </c>
      <c r="S100" s="231">
        <f t="shared" si="31"/>
        <v>0</v>
      </c>
      <c r="T100" s="231">
        <f t="shared" si="31"/>
        <v>0</v>
      </c>
      <c r="U100" s="231">
        <f t="shared" si="31"/>
        <v>0</v>
      </c>
      <c r="V100" s="231">
        <f t="shared" si="31"/>
        <v>0</v>
      </c>
      <c r="W100" s="231">
        <f t="shared" si="31"/>
        <v>0</v>
      </c>
      <c r="X100" s="231" t="e">
        <f t="shared" si="31"/>
        <v>#REF!</v>
      </c>
      <c r="Y100" s="231">
        <f t="shared" si="31"/>
        <v>0</v>
      </c>
      <c r="Z100" s="231">
        <f t="shared" si="31"/>
        <v>0</v>
      </c>
      <c r="AA100" s="231" t="e">
        <f t="shared" si="31"/>
        <v>#REF!</v>
      </c>
      <c r="AB100" s="231">
        <f t="shared" si="31"/>
        <v>0</v>
      </c>
      <c r="AC100" s="231">
        <f t="shared" si="31"/>
        <v>0</v>
      </c>
      <c r="AD100" s="231" t="e">
        <f t="shared" si="31"/>
        <v>#REF!</v>
      </c>
      <c r="AE100" s="231">
        <f t="shared" si="31"/>
        <v>0</v>
      </c>
      <c r="AF100" s="231">
        <f t="shared" si="31"/>
        <v>0</v>
      </c>
      <c r="AG100" s="231" t="e">
        <f t="shared" si="31"/>
        <v>#REF!</v>
      </c>
      <c r="AJ100" s="15"/>
    </row>
    <row r="101" spans="1:36" ht="8.25" customHeight="1">
      <c r="A101" s="235"/>
      <c r="B101" s="247"/>
      <c r="C101" s="213"/>
      <c r="D101" s="214"/>
      <c r="E101" s="214"/>
      <c r="F101" s="214"/>
      <c r="G101" s="214"/>
      <c r="H101" s="214"/>
      <c r="I101" s="214"/>
      <c r="J101" s="214"/>
      <c r="K101" s="214"/>
      <c r="L101" s="214"/>
      <c r="M101" s="210"/>
      <c r="N101" s="210"/>
      <c r="O101" s="210"/>
      <c r="P101" s="210"/>
      <c r="Q101" s="210"/>
      <c r="R101" s="210"/>
      <c r="S101" s="210"/>
      <c r="T101" s="210"/>
      <c r="U101" s="210"/>
      <c r="V101" s="211"/>
      <c r="W101" s="16"/>
      <c r="X101" s="213"/>
      <c r="Y101" s="214"/>
      <c r="Z101" s="214"/>
      <c r="AA101" s="214"/>
      <c r="AB101" s="214"/>
      <c r="AC101" s="211"/>
      <c r="AD101" s="26"/>
      <c r="AE101" s="16"/>
      <c r="AF101" s="26"/>
      <c r="AG101" s="26"/>
      <c r="AJ101" s="15"/>
    </row>
    <row r="102" spans="1:36" ht="12.75">
      <c r="A102" s="235" t="s">
        <v>1605</v>
      </c>
      <c r="B102" s="212" t="s">
        <v>993</v>
      </c>
      <c r="C102" s="21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0"/>
      <c r="N102" s="210"/>
      <c r="O102" s="210"/>
      <c r="P102" s="210"/>
      <c r="Q102" s="210"/>
      <c r="R102" s="210"/>
      <c r="S102" s="210"/>
      <c r="T102" s="210"/>
      <c r="U102" s="210"/>
      <c r="V102" s="211"/>
      <c r="W102" s="16">
        <f>SUM(C102:V102)</f>
        <v>0</v>
      </c>
      <c r="X102" s="213"/>
      <c r="Y102" s="214"/>
      <c r="Z102" s="214"/>
      <c r="AA102" s="214" t="e">
        <f>#REF!</f>
        <v>#REF!</v>
      </c>
      <c r="AB102" s="214"/>
      <c r="AC102" s="211"/>
      <c r="AD102" s="26" t="e">
        <f>SUM(X102:AC102)</f>
        <v>#REF!</v>
      </c>
      <c r="AE102" s="16"/>
      <c r="AF102" s="26"/>
      <c r="AG102" s="26" t="e">
        <f>SUM(C102:AF102)-W102-AD102</f>
        <v>#REF!</v>
      </c>
      <c r="AI102" s="15">
        <f>'MLBSS_Receita e Despesa'!C484</f>
        <v>12790738520</v>
      </c>
      <c r="AJ102" s="15" t="e">
        <f>AG102-AI102</f>
        <v>#REF!</v>
      </c>
    </row>
    <row r="103" spans="1:36" ht="12.75">
      <c r="A103" s="235" t="s">
        <v>266</v>
      </c>
      <c r="B103" s="212" t="s">
        <v>308</v>
      </c>
      <c r="C103" s="213"/>
      <c r="D103" s="214"/>
      <c r="E103" s="214"/>
      <c r="F103" s="214"/>
      <c r="G103" s="214"/>
      <c r="H103" s="214"/>
      <c r="I103" s="214"/>
      <c r="J103" s="214"/>
      <c r="K103" s="214"/>
      <c r="L103" s="214"/>
      <c r="M103" s="210"/>
      <c r="N103" s="210"/>
      <c r="O103" s="210"/>
      <c r="P103" s="210"/>
      <c r="Q103" s="210"/>
      <c r="R103" s="210"/>
      <c r="S103" s="210"/>
      <c r="T103" s="210"/>
      <c r="U103" s="210"/>
      <c r="V103" s="211"/>
      <c r="W103" s="16">
        <f>SUM(C103:V103)</f>
        <v>0</v>
      </c>
      <c r="X103" s="213" t="e">
        <f>#REF!</f>
        <v>#REF!</v>
      </c>
      <c r="Y103" s="214"/>
      <c r="Z103" s="214"/>
      <c r="AA103" s="214"/>
      <c r="AB103" s="214"/>
      <c r="AC103" s="211"/>
      <c r="AD103" s="26" t="e">
        <f>SUM(X103:AC103)</f>
        <v>#REF!</v>
      </c>
      <c r="AE103" s="16"/>
      <c r="AF103" s="26"/>
      <c r="AG103" s="26" t="e">
        <f>SUM(C103:AF103)-W103-AD103</f>
        <v>#REF!</v>
      </c>
      <c r="AI103" s="15">
        <f>'MLBSS_Receita e Despesa'!C485</f>
        <v>10001000</v>
      </c>
      <c r="AJ103" s="15" t="e">
        <f>AG103-AI103</f>
        <v>#REF!</v>
      </c>
    </row>
    <row r="104" spans="1:36" s="33" customFormat="1" ht="12.75">
      <c r="A104" s="255"/>
      <c r="B104" s="246" t="s">
        <v>1295</v>
      </c>
      <c r="C104" s="231"/>
      <c r="D104" s="232"/>
      <c r="E104" s="232"/>
      <c r="F104" s="232"/>
      <c r="G104" s="232"/>
      <c r="H104" s="232"/>
      <c r="I104" s="232"/>
      <c r="J104" s="232"/>
      <c r="K104" s="232"/>
      <c r="L104" s="232"/>
      <c r="M104" s="325"/>
      <c r="N104" s="325"/>
      <c r="O104" s="325"/>
      <c r="P104" s="325"/>
      <c r="Q104" s="325"/>
      <c r="R104" s="325"/>
      <c r="S104" s="325"/>
      <c r="T104" s="325"/>
      <c r="U104" s="325"/>
      <c r="V104" s="233"/>
      <c r="W104" s="326"/>
      <c r="X104" s="231"/>
      <c r="Y104" s="232"/>
      <c r="Z104" s="232"/>
      <c r="AA104" s="232"/>
      <c r="AB104" s="232"/>
      <c r="AC104" s="233"/>
      <c r="AD104" s="205"/>
      <c r="AE104" s="326"/>
      <c r="AF104" s="205">
        <f>'MLBSS_Receita e Despesa'!C473</f>
        <v>530338632.66</v>
      </c>
      <c r="AG104" s="205">
        <f>SUM(C104:AF104)</f>
        <v>530338632.66</v>
      </c>
      <c r="AI104" s="188">
        <f>'MLBSS_Receita e Despesa'!C473</f>
        <v>530338632.66</v>
      </c>
      <c r="AJ104" s="15"/>
    </row>
    <row r="105" spans="1:33" ht="13.5" thickBot="1">
      <c r="A105" s="235"/>
      <c r="B105" s="212"/>
      <c r="C105" s="213"/>
      <c r="D105" s="214"/>
      <c r="E105" s="214"/>
      <c r="F105" s="214"/>
      <c r="G105" s="214"/>
      <c r="H105" s="214"/>
      <c r="I105" s="214"/>
      <c r="J105" s="214"/>
      <c r="K105" s="214"/>
      <c r="L105" s="214"/>
      <c r="M105" s="210"/>
      <c r="N105" s="210"/>
      <c r="O105" s="210"/>
      <c r="P105" s="210"/>
      <c r="Q105" s="210"/>
      <c r="R105" s="210"/>
      <c r="S105" s="210"/>
      <c r="T105" s="210"/>
      <c r="U105" s="210"/>
      <c r="V105" s="211"/>
      <c r="W105" s="16"/>
      <c r="X105" s="213"/>
      <c r="Y105" s="214"/>
      <c r="Z105" s="214"/>
      <c r="AA105" s="214"/>
      <c r="AB105" s="214"/>
      <c r="AC105" s="211"/>
      <c r="AD105" s="26"/>
      <c r="AE105" s="16"/>
      <c r="AF105" s="26"/>
      <c r="AG105" s="26"/>
    </row>
    <row r="106" spans="1:38" ht="13.5" thickBot="1">
      <c r="A106" s="248" t="s">
        <v>716</v>
      </c>
      <c r="B106" s="249"/>
      <c r="C106" s="250" t="e">
        <f aca="true" t="shared" si="32" ref="C106:AE106">C100+C95</f>
        <v>#REF!</v>
      </c>
      <c r="D106" s="251">
        <f t="shared" si="32"/>
        <v>0</v>
      </c>
      <c r="E106" s="251">
        <f t="shared" si="32"/>
        <v>0</v>
      </c>
      <c r="F106" s="251">
        <f t="shared" si="32"/>
        <v>0</v>
      </c>
      <c r="G106" s="251" t="e">
        <f t="shared" si="32"/>
        <v>#REF!</v>
      </c>
      <c r="H106" s="251" t="e">
        <f t="shared" si="32"/>
        <v>#REF!</v>
      </c>
      <c r="I106" s="251" t="e">
        <f t="shared" si="32"/>
        <v>#REF!</v>
      </c>
      <c r="J106" s="251">
        <f t="shared" si="32"/>
        <v>0</v>
      </c>
      <c r="K106" s="251">
        <f t="shared" si="32"/>
        <v>0</v>
      </c>
      <c r="L106" s="251" t="e">
        <f t="shared" si="32"/>
        <v>#REF!</v>
      </c>
      <c r="M106" s="327" t="e">
        <f t="shared" si="32"/>
        <v>#REF!</v>
      </c>
      <c r="N106" s="327" t="e">
        <f t="shared" si="32"/>
        <v>#REF!</v>
      </c>
      <c r="O106" s="327">
        <f t="shared" si="32"/>
        <v>0</v>
      </c>
      <c r="P106" s="327" t="e">
        <f t="shared" si="32"/>
        <v>#REF!</v>
      </c>
      <c r="Q106" s="327">
        <f t="shared" si="32"/>
        <v>0</v>
      </c>
      <c r="R106" s="327">
        <f t="shared" si="32"/>
        <v>0</v>
      </c>
      <c r="S106" s="327">
        <f t="shared" si="32"/>
        <v>0</v>
      </c>
      <c r="T106" s="327" t="e">
        <f t="shared" si="32"/>
        <v>#REF!</v>
      </c>
      <c r="U106" s="327" t="e">
        <f t="shared" si="32"/>
        <v>#REF!</v>
      </c>
      <c r="V106" s="252">
        <f t="shared" si="32"/>
        <v>0</v>
      </c>
      <c r="W106" s="252" t="e">
        <f t="shared" si="32"/>
        <v>#REF!</v>
      </c>
      <c r="X106" s="250" t="e">
        <f t="shared" si="32"/>
        <v>#REF!</v>
      </c>
      <c r="Y106" s="251">
        <f t="shared" si="32"/>
        <v>0</v>
      </c>
      <c r="Z106" s="251">
        <f t="shared" si="32"/>
        <v>0</v>
      </c>
      <c r="AA106" s="251" t="e">
        <f t="shared" si="32"/>
        <v>#REF!</v>
      </c>
      <c r="AB106" s="251">
        <f t="shared" si="32"/>
        <v>0</v>
      </c>
      <c r="AC106" s="252">
        <f t="shared" si="32"/>
        <v>0</v>
      </c>
      <c r="AD106" s="252" t="e">
        <f t="shared" si="32"/>
        <v>#REF!</v>
      </c>
      <c r="AE106" s="195">
        <f t="shared" si="32"/>
        <v>0</v>
      </c>
      <c r="AF106" s="328">
        <f>AF100+AF95+AF104</f>
        <v>530338632.66</v>
      </c>
      <c r="AG106" s="253" t="e">
        <f>AG100+AG95+AG104</f>
        <v>#REF!</v>
      </c>
      <c r="AI106" s="254">
        <f>'MLBSS_Receita e Despesa'!C475+'MLBSS_Receita e Despesa'!C473+'MLBSS_Receita e Despesa'!C481</f>
        <v>13675881452.66</v>
      </c>
      <c r="AJ106" s="15" t="e">
        <f>AG106-AI106</f>
        <v>#REF!</v>
      </c>
      <c r="AK106" s="15" t="e">
        <f>SUM(AJ97:AJ103)</f>
        <v>#REF!</v>
      </c>
      <c r="AL106" s="15" t="e">
        <f>AJ106-AK106</f>
        <v>#REF!</v>
      </c>
    </row>
    <row r="107" ht="6" customHeight="1" thickBot="1"/>
    <row r="108" spans="2:36" s="15" customFormat="1" ht="13.5" thickBot="1">
      <c r="B108" s="346" t="s">
        <v>920</v>
      </c>
      <c r="C108" s="195" t="e">
        <f aca="true" t="shared" si="33" ref="C108:AG108">C106+C65+C90+C41+C17</f>
        <v>#REF!</v>
      </c>
      <c r="D108" s="195" t="e">
        <f t="shared" si="33"/>
        <v>#REF!</v>
      </c>
      <c r="E108" s="195" t="e">
        <f t="shared" si="33"/>
        <v>#REF!</v>
      </c>
      <c r="F108" s="195" t="e">
        <f t="shared" si="33"/>
        <v>#REF!</v>
      </c>
      <c r="G108" s="195" t="e">
        <f t="shared" si="33"/>
        <v>#REF!</v>
      </c>
      <c r="H108" s="195" t="e">
        <f t="shared" si="33"/>
        <v>#REF!</v>
      </c>
      <c r="I108" s="195" t="e">
        <f t="shared" si="33"/>
        <v>#REF!</v>
      </c>
      <c r="J108" s="195" t="e">
        <f t="shared" si="33"/>
        <v>#REF!</v>
      </c>
      <c r="K108" s="195" t="e">
        <f t="shared" si="33"/>
        <v>#REF!</v>
      </c>
      <c r="L108" s="195" t="e">
        <f t="shared" si="33"/>
        <v>#REF!</v>
      </c>
      <c r="M108" s="195" t="e">
        <f t="shared" si="33"/>
        <v>#REF!</v>
      </c>
      <c r="N108" s="195" t="e">
        <f t="shared" si="33"/>
        <v>#REF!</v>
      </c>
      <c r="O108" s="195">
        <f t="shared" si="33"/>
        <v>0</v>
      </c>
      <c r="P108" s="195" t="e">
        <f t="shared" si="33"/>
        <v>#REF!</v>
      </c>
      <c r="Q108" s="195" t="e">
        <f t="shared" si="33"/>
        <v>#REF!</v>
      </c>
      <c r="R108" s="195" t="e">
        <f t="shared" si="33"/>
        <v>#REF!</v>
      </c>
      <c r="S108" s="195" t="e">
        <f t="shared" si="33"/>
        <v>#REF!</v>
      </c>
      <c r="T108" s="195" t="e">
        <f t="shared" si="33"/>
        <v>#REF!</v>
      </c>
      <c r="U108" s="195" t="e">
        <f t="shared" si="33"/>
        <v>#REF!</v>
      </c>
      <c r="V108" s="347" t="e">
        <f t="shared" si="33"/>
        <v>#REF!</v>
      </c>
      <c r="W108" s="347" t="e">
        <f t="shared" si="33"/>
        <v>#REF!</v>
      </c>
      <c r="X108" s="348" t="e">
        <f t="shared" si="33"/>
        <v>#REF!</v>
      </c>
      <c r="Y108" s="195" t="e">
        <f t="shared" si="33"/>
        <v>#REF!</v>
      </c>
      <c r="Z108" s="195" t="e">
        <f t="shared" si="33"/>
        <v>#REF!</v>
      </c>
      <c r="AA108" s="195" t="e">
        <f t="shared" si="33"/>
        <v>#REF!</v>
      </c>
      <c r="AB108" s="195" t="e">
        <f t="shared" si="33"/>
        <v>#REF!</v>
      </c>
      <c r="AC108" s="195" t="e">
        <f t="shared" si="33"/>
        <v>#REF!</v>
      </c>
      <c r="AD108" s="195" t="e">
        <f t="shared" si="33"/>
        <v>#REF!</v>
      </c>
      <c r="AE108" s="195" t="e">
        <f t="shared" si="33"/>
        <v>#REF!</v>
      </c>
      <c r="AF108" s="195">
        <f t="shared" si="33"/>
        <v>2099627886.4850001</v>
      </c>
      <c r="AG108" s="195" t="e">
        <f t="shared" si="33"/>
        <v>#REF!</v>
      </c>
      <c r="AI108" s="254">
        <f>AI106+AI65+AI90+AI41+AI17</f>
        <v>38952921932.485</v>
      </c>
      <c r="AJ108" s="264">
        <f>'MLBSS_Receita e Despesa'!C481+'MLBSS_Receita e Despesa'!C475+'MLBSS_Receita e Despesa'!C473+'MLBSS_Receita e Despesa'!C423+'MLBSS_Receita e Despesa'!C352+'MLBSS_Receita e Despesa'!C350+'MLBSS_Receita e Despesa'!C279+'MLBSS_Receita e Despesa'!C242+'MLBSS_Receita e Despesa'!C240+'MLBSS_Receita e Despesa'!C142+'MLBSS_Receita e Despesa'!C140+'MLBSS_Receita e Despesa'!C17+'MLBSS_Receita e Despesa'!C15-AI108</f>
        <v>0</v>
      </c>
    </row>
    <row r="110" spans="2:35" s="597" customFormat="1" ht="12.75">
      <c r="B110" s="598" t="s">
        <v>158</v>
      </c>
      <c r="C110" s="199">
        <v>13015335890</v>
      </c>
      <c r="D110" s="199">
        <v>1075635</v>
      </c>
      <c r="E110" s="199">
        <v>1543799</v>
      </c>
      <c r="F110" s="199">
        <v>48606668</v>
      </c>
      <c r="G110" s="199">
        <v>661297</v>
      </c>
      <c r="H110" s="199">
        <v>51754213</v>
      </c>
      <c r="I110" s="199">
        <v>238678059</v>
      </c>
      <c r="J110" s="199">
        <v>30000</v>
      </c>
      <c r="K110" s="199">
        <v>0</v>
      </c>
      <c r="L110" s="199">
        <v>54600844</v>
      </c>
      <c r="M110" s="199">
        <v>8010540</v>
      </c>
      <c r="N110" s="199">
        <v>11202975</v>
      </c>
      <c r="O110" s="199">
        <v>0</v>
      </c>
      <c r="P110" s="199">
        <v>5916519</v>
      </c>
      <c r="Q110" s="199">
        <v>7247435950</v>
      </c>
      <c r="R110" s="199">
        <v>190302786</v>
      </c>
      <c r="S110" s="199">
        <v>1002930845</v>
      </c>
      <c r="T110" s="199">
        <v>153965</v>
      </c>
      <c r="U110" s="199">
        <v>7117942</v>
      </c>
      <c r="V110" s="199">
        <v>6475679</v>
      </c>
      <c r="W110" s="599"/>
      <c r="X110" s="199">
        <v>28389915</v>
      </c>
      <c r="Y110" s="199">
        <v>13387274</v>
      </c>
      <c r="Z110" s="199">
        <v>16091208</v>
      </c>
      <c r="AA110" s="199">
        <v>6123161678</v>
      </c>
      <c r="AB110" s="199">
        <v>260000000</v>
      </c>
      <c r="AC110" s="199">
        <v>3002</v>
      </c>
      <c r="AD110" s="599"/>
      <c r="AE110" s="199">
        <v>221141549</v>
      </c>
      <c r="AF110" s="199">
        <v>117850261</v>
      </c>
      <c r="AG110" s="600">
        <v>28671858493</v>
      </c>
      <c r="AI110" s="578">
        <f>SUM(C110:AF110)</f>
        <v>28671858493</v>
      </c>
    </row>
    <row r="111" spans="2:35" ht="12.75">
      <c r="B111" s="257"/>
      <c r="C111" s="543" t="e">
        <f aca="true" t="shared" si="34" ref="C111:V111">C108-C110</f>
        <v>#REF!</v>
      </c>
      <c r="D111" s="543" t="e">
        <f t="shared" si="34"/>
        <v>#REF!</v>
      </c>
      <c r="E111" s="543" t="e">
        <f t="shared" si="34"/>
        <v>#REF!</v>
      </c>
      <c r="F111" s="543" t="e">
        <f t="shared" si="34"/>
        <v>#REF!</v>
      </c>
      <c r="G111" s="543" t="e">
        <f t="shared" si="34"/>
        <v>#REF!</v>
      </c>
      <c r="H111" s="543" t="e">
        <f t="shared" si="34"/>
        <v>#REF!</v>
      </c>
      <c r="I111" s="543" t="e">
        <f t="shared" si="34"/>
        <v>#REF!</v>
      </c>
      <c r="J111" s="543" t="e">
        <f t="shared" si="34"/>
        <v>#REF!</v>
      </c>
      <c r="K111" s="543" t="e">
        <f t="shared" si="34"/>
        <v>#REF!</v>
      </c>
      <c r="L111" s="543" t="e">
        <f t="shared" si="34"/>
        <v>#REF!</v>
      </c>
      <c r="M111" s="543" t="e">
        <f t="shared" si="34"/>
        <v>#REF!</v>
      </c>
      <c r="N111" s="543" t="e">
        <f t="shared" si="34"/>
        <v>#REF!</v>
      </c>
      <c r="O111" s="543">
        <f t="shared" si="34"/>
        <v>0</v>
      </c>
      <c r="P111" s="543" t="e">
        <f t="shared" si="34"/>
        <v>#REF!</v>
      </c>
      <c r="Q111" s="543" t="e">
        <f t="shared" si="34"/>
        <v>#REF!</v>
      </c>
      <c r="R111" s="543" t="e">
        <f t="shared" si="34"/>
        <v>#REF!</v>
      </c>
      <c r="S111" s="543" t="e">
        <f t="shared" si="34"/>
        <v>#REF!</v>
      </c>
      <c r="T111" s="543" t="e">
        <f t="shared" si="34"/>
        <v>#REF!</v>
      </c>
      <c r="U111" s="543" t="e">
        <f t="shared" si="34"/>
        <v>#REF!</v>
      </c>
      <c r="V111" s="543" t="e">
        <f t="shared" si="34"/>
        <v>#REF!</v>
      </c>
      <c r="W111" s="543"/>
      <c r="X111" s="543" t="e">
        <f aca="true" t="shared" si="35" ref="X111:AC111">X108-X110</f>
        <v>#REF!</v>
      </c>
      <c r="Y111" s="543" t="e">
        <f t="shared" si="35"/>
        <v>#REF!</v>
      </c>
      <c r="Z111" s="543" t="e">
        <f t="shared" si="35"/>
        <v>#REF!</v>
      </c>
      <c r="AA111" s="543" t="e">
        <f t="shared" si="35"/>
        <v>#REF!</v>
      </c>
      <c r="AB111" s="543" t="e">
        <f t="shared" si="35"/>
        <v>#REF!</v>
      </c>
      <c r="AC111" s="543" t="e">
        <f t="shared" si="35"/>
        <v>#REF!</v>
      </c>
      <c r="AD111" s="544"/>
      <c r="AE111" s="543" t="e">
        <f>AE108-AE110</f>
        <v>#REF!</v>
      </c>
      <c r="AF111" s="543">
        <f>AF108-AF110</f>
        <v>1981777625.4850001</v>
      </c>
      <c r="AG111" s="545" t="e">
        <f>AG108-AG110</f>
        <v>#REF!</v>
      </c>
      <c r="AI111" s="15">
        <v>0</v>
      </c>
    </row>
    <row r="112" spans="5:36" ht="12.75">
      <c r="E112" s="15"/>
      <c r="AC112" s="15"/>
      <c r="AI112" s="193"/>
      <c r="AJ112" s="189"/>
    </row>
    <row r="113" spans="5:36" ht="12.75">
      <c r="E113" s="15"/>
      <c r="Y113" s="15"/>
      <c r="AF113" s="546" t="s">
        <v>717</v>
      </c>
      <c r="AG113" s="547">
        <f>'[2]Mapa IX Analitico'!B68</f>
        <v>33835343436.039997</v>
      </c>
      <c r="AI113" s="193"/>
      <c r="AJ113" s="189"/>
    </row>
    <row r="114" spans="29:35" ht="12.75">
      <c r="AC114" s="15"/>
      <c r="AG114" s="264" t="e">
        <f>+AG108-AG113</f>
        <v>#REF!</v>
      </c>
      <c r="AI114" s="15" t="e">
        <f>AJ106+AJ65+AJ90+AJ41+AJ17</f>
        <v>#REF!</v>
      </c>
    </row>
  </sheetData>
  <printOptions horizontalCentered="1" verticalCentered="1"/>
  <pageMargins left="0.75" right="0.75" top="0.43" bottom="0.1968503937007874" header="0.32" footer="0"/>
  <pageSetup fitToHeight="2" horizontalDpi="300" verticalDpi="300" orientation="landscape" paperSize="8" scale="51" r:id="rId1"/>
  <headerFooter alignWithMargins="0">
    <oddHeader>&amp;CMAPAS AUXILIARES AO MAPAS LEGAIS - RECEITA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55"/>
  <sheetViews>
    <sheetView zoomScale="75" zoomScaleNormal="75" zoomScaleSheetLayoutView="75" workbookViewId="0" topLeftCell="A1">
      <selection activeCell="C286" sqref="C286"/>
    </sheetView>
  </sheetViews>
  <sheetFormatPr defaultColWidth="9.140625" defaultRowHeight="12.75"/>
  <cols>
    <col min="1" max="1" width="66.00390625" style="201" customWidth="1"/>
    <col min="2" max="3" width="23.140625" style="296" customWidth="1"/>
    <col min="4" max="6" width="9.140625" style="5" customWidth="1"/>
    <col min="7" max="8" width="13.421875" style="5" bestFit="1" customWidth="1"/>
    <col min="9" max="16384" width="9.140625" style="5" customWidth="1"/>
  </cols>
  <sheetData>
    <row r="1" spans="1:3" ht="15.75">
      <c r="A1" s="350" t="s">
        <v>1569</v>
      </c>
      <c r="B1" s="350"/>
      <c r="C1" s="313"/>
    </row>
    <row r="2" spans="1:3" ht="14.25" customHeight="1">
      <c r="A2" s="351"/>
      <c r="B2" s="352"/>
      <c r="C2" s="352"/>
    </row>
    <row r="3" spans="1:3" ht="17.25" customHeight="1">
      <c r="A3" s="350" t="s">
        <v>670</v>
      </c>
      <c r="B3" s="350"/>
      <c r="C3" s="313"/>
    </row>
    <row r="4" spans="1:3" ht="17.25" customHeight="1">
      <c r="A4" s="316"/>
      <c r="B4" s="316"/>
      <c r="C4" s="356"/>
    </row>
    <row r="5" spans="1:3" ht="13.5" thickBot="1">
      <c r="A5" s="355"/>
      <c r="B5" s="356"/>
      <c r="C5" s="356"/>
    </row>
    <row r="6" spans="1:3" ht="18.75" customHeight="1" thickTop="1">
      <c r="A6" s="948" t="s">
        <v>1132</v>
      </c>
      <c r="B6" s="315" t="s">
        <v>790</v>
      </c>
      <c r="C6" s="353"/>
    </row>
    <row r="7" spans="1:3" ht="18.75" customHeight="1">
      <c r="A7" s="949"/>
      <c r="B7" s="270">
        <v>2006</v>
      </c>
      <c r="C7" s="270" t="s">
        <v>1128</v>
      </c>
    </row>
    <row r="8" spans="1:3" ht="18.75" customHeight="1">
      <c r="A8" s="949"/>
      <c r="B8" s="349"/>
      <c r="C8" s="354">
        <v>2008</v>
      </c>
    </row>
    <row r="9" spans="1:3" ht="18.75" customHeight="1" thickBot="1">
      <c r="A9" s="558"/>
      <c r="B9" s="271" t="s">
        <v>1131</v>
      </c>
      <c r="C9" s="271" t="s">
        <v>1337</v>
      </c>
    </row>
    <row r="10" spans="1:3" ht="20.25" customHeight="1" thickTop="1">
      <c r="A10" s="314" t="s">
        <v>1319</v>
      </c>
      <c r="B10" s="307"/>
      <c r="C10" s="307"/>
    </row>
    <row r="11" spans="1:3" ht="20.25" customHeight="1">
      <c r="A11" s="272" t="s">
        <v>0</v>
      </c>
      <c r="B11" s="14" t="e">
        <f>+'MLBSS_Receita e Despesa'!#REF!++'MLBSS_Receita e Despesa'!#REF!+'MLBSS_Receita e Despesa'!#REF!+'MLBSS_Receita e Despesa'!#REF!+'MLBSS_Receita e Despesa'!#REF!</f>
        <v>#REF!</v>
      </c>
      <c r="C11" s="14"/>
    </row>
    <row r="12" spans="1:8" ht="20.25" customHeight="1">
      <c r="A12" s="272" t="s">
        <v>984</v>
      </c>
      <c r="B12" s="14" t="e">
        <f>+'MLBSS_Receita e Despesa'!#REF!+'MLBSS_Receita e Despesa'!#REF!+'MLBSS_Receita e Despesa'!#REF!+'MLBSS_Receita e Despesa'!#REF!+'MLBSS_Receita e Despesa'!#REF!</f>
        <v>#REF!</v>
      </c>
      <c r="C12" s="14">
        <f>+'MLBSS_Receita e Despesa'!C14+'MLBSS_Receita e Despesa'!C139+'MLBSS_Receita e Despesa'!C239+'MLBSS_Receita e Despesa'!C349+'MLBSS_Receita e Despesa'!C472</f>
        <v>1162328896.4</v>
      </c>
      <c r="G12" s="15"/>
      <c r="H12" s="15"/>
    </row>
    <row r="13" spans="1:8" s="273" customFormat="1" ht="23.25" customHeight="1">
      <c r="A13" s="297" t="s">
        <v>1365</v>
      </c>
      <c r="B13" s="298" t="e">
        <f>+B11+B12</f>
        <v>#REF!</v>
      </c>
      <c r="C13" s="298">
        <f>+'MLBSS_Receita e Despesa'!C15+'MLBSS_Receita e Despesa'!C140+'MLBSS_Receita e Despesa'!C350+'MLBSS_Receita e Despesa'!C240+'MLBSS_Receita e Despesa'!C473</f>
        <v>2099627886.4850001</v>
      </c>
      <c r="G13" s="15"/>
      <c r="H13" s="15"/>
    </row>
    <row r="14" spans="1:8" s="273" customFormat="1" ht="21" customHeight="1">
      <c r="A14" s="297" t="s">
        <v>612</v>
      </c>
      <c r="B14" s="298" t="e">
        <f>+B15+B17+B18</f>
        <v>#REF!</v>
      </c>
      <c r="C14" s="298">
        <f>+C15+C17+C18</f>
        <v>14864474964</v>
      </c>
      <c r="G14" s="15"/>
      <c r="H14" s="15"/>
    </row>
    <row r="15" spans="1:8" ht="18" customHeight="1">
      <c r="A15" s="268" t="s">
        <v>339</v>
      </c>
      <c r="B15" s="18" t="e">
        <f>SUM(B16:B16)</f>
        <v>#REF!</v>
      </c>
      <c r="C15" s="18">
        <f>SUM(C16:C16)</f>
        <v>14111774907</v>
      </c>
      <c r="G15" s="15"/>
      <c r="H15" s="15"/>
    </row>
    <row r="16" spans="1:8" s="23" customFormat="1" ht="18" customHeight="1">
      <c r="A16" s="274" t="s">
        <v>259</v>
      </c>
      <c r="B16" s="21" t="e">
        <f>+'MLBSS_Receita e Despesa'!#REF!+'MLBSS_Receita e Despesa'!#REF!</f>
        <v>#REF!</v>
      </c>
      <c r="C16" s="21">
        <f>+'MLBSS_Receita e Despesa'!C354+'MLBSS_Receita e Despesa'!C358+'MLBSS_Receita e Despesa'!C476</f>
        <v>14111774907</v>
      </c>
      <c r="G16" s="15"/>
      <c r="H16" s="15"/>
    </row>
    <row r="17" spans="1:8" ht="18" customHeight="1">
      <c r="A17" s="268" t="s">
        <v>24</v>
      </c>
      <c r="B17" s="18" t="e">
        <f>+'MLBSS_Receita e Despesa'!#REF!+'MLBSS_Receita e Despesa'!#REF!+'MLBSS_Receita e Despesa'!#REF!+'MLBSS_Receita e Despesa'!#REF!+'MLBSS_Receita e Despesa'!#REF!+'MLBSS_Receita e Despesa'!#REF!</f>
        <v>#REF!</v>
      </c>
      <c r="C17" s="18">
        <f>+'MLBSS_Receita e Despesa'!C264+'MLBSS_Receita e Despesa'!C266+'MLBSS_Receita e Despesa'!C361+'MLBSS_Receita e Despesa'!C386+'MLBSS_Receita e Despesa'!C388+'MLBSS_Receita e Despesa'!C477</f>
        <v>391388787</v>
      </c>
      <c r="G17" s="15"/>
      <c r="H17" s="15"/>
    </row>
    <row r="18" spans="1:8" ht="18" customHeight="1">
      <c r="A18" s="268" t="s">
        <v>196</v>
      </c>
      <c r="B18" s="18" t="e">
        <f>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</f>
        <v>#REF!</v>
      </c>
      <c r="C18" s="18">
        <f>+'MLBSS_Receita e Despesa'!C39+'MLBSS_Receita e Despesa'!C160+'MLBSS_Receita e Despesa'!C268+'MLBSS_Receita e Despesa'!C270+'MLBSS_Receita e Despesa'!C272+'MLBSS_Receita e Despesa'!C364+'MLBSS_Receita e Despesa'!C379+'MLBSS_Receita e Despesa'!C381+'MLBSS_Receita e Despesa'!C382+'MLBSS_Receita e Despesa'!C383+'MLBSS_Receita e Despesa'!C385+'MLBSS_Receita e Despesa'!C478+'MLBSS_Receita e Despesa'!C260+'MLBSS_Receita e Despesa'!C262</f>
        <v>361311270</v>
      </c>
      <c r="G18" s="15"/>
      <c r="H18" s="15"/>
    </row>
    <row r="19" spans="1:8" s="273" customFormat="1" ht="21" customHeight="1">
      <c r="A19" s="297" t="s">
        <v>547</v>
      </c>
      <c r="B19" s="298" t="e">
        <f>+B20+B21+B22+B24+B25</f>
        <v>#REF!</v>
      </c>
      <c r="C19" s="298">
        <f>+C20+C21+C22+C24+C25</f>
        <v>12826220102</v>
      </c>
      <c r="G19" s="15"/>
      <c r="H19" s="15"/>
    </row>
    <row r="20" spans="1:8" s="273" customFormat="1" ht="18" customHeight="1">
      <c r="A20" s="19" t="s">
        <v>789</v>
      </c>
      <c r="B20" s="18" t="e">
        <f>+'MLBSS_Receita e Despesa'!#REF!</f>
        <v>#REF!</v>
      </c>
      <c r="C20" s="18">
        <f>+'MLBSS_Receita e Despesa'!C427</f>
        <v>100</v>
      </c>
      <c r="G20" s="15"/>
      <c r="H20" s="15"/>
    </row>
    <row r="21" spans="1:8" s="273" customFormat="1" ht="18" customHeight="1">
      <c r="A21" s="19" t="s">
        <v>981</v>
      </c>
      <c r="B21" s="18" t="e">
        <f>+'MLBSS_Receita e Despesa'!#REF!</f>
        <v>#REF!</v>
      </c>
      <c r="C21" s="18">
        <f>+'MLBSS_Receita e Despesa'!C484</f>
        <v>12790738520</v>
      </c>
      <c r="G21" s="15"/>
      <c r="H21" s="15"/>
    </row>
    <row r="22" spans="1:8" s="273" customFormat="1" ht="18" customHeight="1">
      <c r="A22" s="19" t="s">
        <v>580</v>
      </c>
      <c r="B22" s="18" t="e">
        <f>+B23</f>
        <v>#REF!</v>
      </c>
      <c r="C22" s="18">
        <f>+C23</f>
        <v>0</v>
      </c>
      <c r="G22" s="15"/>
      <c r="H22" s="15"/>
    </row>
    <row r="23" spans="1:8" s="275" customFormat="1" ht="18" customHeight="1">
      <c r="A23" s="274" t="s">
        <v>1519</v>
      </c>
      <c r="B23" s="21" t="e">
        <f>+'MLBSS_Receita e Despesa'!#REF!</f>
        <v>#REF!</v>
      </c>
      <c r="C23" s="21">
        <f>+'MLBSS_Receita e Despesa'!C431</f>
        <v>0</v>
      </c>
      <c r="G23" s="15"/>
      <c r="H23" s="15"/>
    </row>
    <row r="24" spans="1:8" s="273" customFormat="1" ht="18" customHeight="1">
      <c r="A24" s="276" t="s">
        <v>1212</v>
      </c>
      <c r="B24" s="18" t="e">
        <f>+'MLBSS_Receita e Despesa'!#REF!+'MLBSS_Receita e Despesa'!#REF!</f>
        <v>#REF!</v>
      </c>
      <c r="C24" s="18">
        <f>+'MLBSS_Receita e Despesa'!C436+'MLBSS_Receita e Despesa'!C297</f>
        <v>480372</v>
      </c>
      <c r="G24" s="15"/>
      <c r="H24" s="15"/>
    </row>
    <row r="25" spans="1:8" s="273" customFormat="1" ht="18" customHeight="1" thickBot="1">
      <c r="A25" s="277" t="s">
        <v>737</v>
      </c>
      <c r="B25" s="22" t="e">
        <f>+'MLBSS_Receita e Despesa'!#REF!+'MLBSS_Receita e Despesa'!#REF!+'MLBSS_Receita e Despesa'!#REF!</f>
        <v>#REF!</v>
      </c>
      <c r="C25" s="22">
        <f>+'MLBSS_Receita e Despesa'!C435+'MLBSS_Receita e Despesa'!C299+'MLBSS_Receita e Despesa'!C485</f>
        <v>35001110</v>
      </c>
      <c r="G25" s="15"/>
      <c r="H25" s="15"/>
    </row>
    <row r="26" spans="1:8" ht="21" customHeight="1" thickTop="1">
      <c r="A26" s="299" t="s">
        <v>982</v>
      </c>
      <c r="B26" s="300" t="e">
        <f>+B27+B28+B30+B38+B41+B42+B29</f>
        <v>#REF!</v>
      </c>
      <c r="C26" s="300">
        <f>+C27+C28+C30+C38+C41+C42+C29</f>
        <v>8852345981</v>
      </c>
      <c r="G26" s="15"/>
      <c r="H26" s="15"/>
    </row>
    <row r="27" spans="1:8" ht="21" customHeight="1">
      <c r="A27" s="268" t="s">
        <v>613</v>
      </c>
      <c r="B27" s="14" t="e">
        <f>+'MLBSS_Receita e Despesa'!#REF!</f>
        <v>#REF!</v>
      </c>
      <c r="C27" s="14">
        <f>+'MLBSS_Receita e Despesa'!C151</f>
        <v>715190219</v>
      </c>
      <c r="G27" s="15"/>
      <c r="H27" s="15"/>
    </row>
    <row r="28" spans="1:8" ht="18" customHeight="1">
      <c r="A28" s="268" t="s">
        <v>1500</v>
      </c>
      <c r="B28" s="14" t="e">
        <f>+'MLBSS_Receita e Despesa'!#REF!+'MLBSS_Receita e Despesa'!#REF!+'MLBSS_Receita e Despesa'!#REF!+'MLBSS_Receita e Despesa'!#REF!+'MLBSS_Receita e Despesa'!#REF!-B29</f>
        <v>#REF!</v>
      </c>
      <c r="C28" s="14">
        <f>+'MLBSS_Receita e Despesa'!C29+'MLBSS_Receita e Despesa'!C30+'MLBSS_Receita e Despesa'!C154+'MLBSS_Receita e Despesa'!C244+'MLBSS_Receita e Despesa'!C372-C29</f>
        <v>6345354269</v>
      </c>
      <c r="G28" s="15"/>
      <c r="H28" s="15"/>
    </row>
    <row r="29" spans="1:8" ht="18" customHeight="1">
      <c r="A29" s="268" t="s">
        <v>732</v>
      </c>
      <c r="B29" s="14" t="e">
        <f>'MLBSS_Receita e Despesa'!#REF!</f>
        <v>#REF!</v>
      </c>
      <c r="C29" s="14">
        <f>'MLBSS_Receita e Despesa'!C373</f>
        <v>115075000</v>
      </c>
      <c r="G29" s="15"/>
      <c r="H29" s="15"/>
    </row>
    <row r="30" spans="1:8" ht="18" customHeight="1">
      <c r="A30" s="268" t="s">
        <v>1213</v>
      </c>
      <c r="B30" s="14" t="e">
        <f>+B31+B33+B34+B35+B36+B37</f>
        <v>#REF!</v>
      </c>
      <c r="C30" s="14">
        <f>+C31+C32+C33+C34+C35+C36+C37</f>
        <v>331384886</v>
      </c>
      <c r="G30" s="15"/>
      <c r="H30" s="15"/>
    </row>
    <row r="31" spans="1:8" s="273" customFormat="1" ht="18" customHeight="1">
      <c r="A31" s="266" t="s">
        <v>704</v>
      </c>
      <c r="B31" s="18" t="e">
        <f>+'MLBSS_Receita e Despesa'!#REF!+'MLBSS_Receita e Despesa'!#REF!</f>
        <v>#REF!</v>
      </c>
      <c r="C31" s="18">
        <f>+'MLBSS_Receita e Despesa'!C24+'MLBSS_Receita e Despesa'!C25</f>
        <v>731805</v>
      </c>
      <c r="G31" s="15"/>
      <c r="H31" s="15"/>
    </row>
    <row r="32" spans="1:8" s="273" customFormat="1" ht="18" customHeight="1">
      <c r="A32" s="266" t="s">
        <v>842</v>
      </c>
      <c r="B32" s="18"/>
      <c r="C32" s="18">
        <f>'MLBSS_Receita e Despesa'!C27</f>
        <v>2166141</v>
      </c>
      <c r="G32" s="15"/>
      <c r="H32" s="15"/>
    </row>
    <row r="33" spans="1:8" s="273" customFormat="1" ht="18" customHeight="1">
      <c r="A33" s="266" t="s">
        <v>460</v>
      </c>
      <c r="B33" s="18" t="e">
        <f>+'MLBSS_Receita e Despesa'!#REF!+'MLBSS_Receita e Despesa'!#REF!</f>
        <v>#REF!</v>
      </c>
      <c r="C33" s="18">
        <f>+'MLBSS_Receita e Despesa'!C32+'MLBSS_Receita e Despesa'!C33</f>
        <v>25796871</v>
      </c>
      <c r="G33" s="15"/>
      <c r="H33" s="15"/>
    </row>
    <row r="34" spans="1:8" s="273" customFormat="1" ht="18" customHeight="1">
      <c r="A34" s="266" t="s">
        <v>1100</v>
      </c>
      <c r="B34" s="18" t="e">
        <f>+'MLBSS_Receita e Despesa'!#REF!</f>
        <v>#REF!</v>
      </c>
      <c r="C34" s="18">
        <f>+'MLBSS_Receita e Despesa'!C36</f>
        <v>13824710</v>
      </c>
      <c r="G34" s="15"/>
      <c r="H34" s="15"/>
    </row>
    <row r="35" spans="1:8" s="273" customFormat="1" ht="18" customHeight="1">
      <c r="A35" s="266" t="s">
        <v>703</v>
      </c>
      <c r="B35" s="18" t="e">
        <f>+'MLBSS_Receita e Despesa'!#REF!</f>
        <v>#REF!</v>
      </c>
      <c r="C35" s="18">
        <f>+'MLBSS_Receita e Despesa'!C366</f>
        <v>3448109</v>
      </c>
      <c r="G35" s="15"/>
      <c r="H35" s="15"/>
    </row>
    <row r="36" spans="1:8" ht="18" customHeight="1">
      <c r="A36" s="266" t="s">
        <v>705</v>
      </c>
      <c r="B36" s="18" t="e">
        <f>+'MLBSS_Receita e Despesa'!#REF!</f>
        <v>#REF!</v>
      </c>
      <c r="C36" s="18">
        <f>+'MLBSS_Receita e Despesa'!C248</f>
        <v>123500000</v>
      </c>
      <c r="G36" s="15"/>
      <c r="H36" s="15"/>
    </row>
    <row r="37" spans="1:8" ht="18" customHeight="1">
      <c r="A37" s="266" t="s">
        <v>649</v>
      </c>
      <c r="B37" s="18" t="e">
        <f>+'MLBSS_Receita e Despesa'!#REF!</f>
        <v>#REF!</v>
      </c>
      <c r="C37" s="18">
        <f>+'MLBSS_Receita e Despesa'!C250</f>
        <v>161917250</v>
      </c>
      <c r="G37" s="15"/>
      <c r="H37" s="15"/>
    </row>
    <row r="38" spans="1:8" s="273" customFormat="1" ht="18" customHeight="1">
      <c r="A38" s="268" t="s">
        <v>520</v>
      </c>
      <c r="B38" s="14" t="e">
        <f>+B39+B40</f>
        <v>#REF!</v>
      </c>
      <c r="C38" s="14">
        <f>+C39+C40</f>
        <v>1345341607</v>
      </c>
      <c r="G38" s="15"/>
      <c r="H38" s="15"/>
    </row>
    <row r="39" spans="1:8" s="23" customFormat="1" ht="18" customHeight="1">
      <c r="A39" s="267" t="s">
        <v>1552</v>
      </c>
      <c r="B39" s="18" t="e">
        <f>+'MLBSS_Receita e Despesa'!#REF!</f>
        <v>#REF!</v>
      </c>
      <c r="C39" s="18">
        <f>+'MLBSS_Receita e Despesa'!C377</f>
        <v>1345341607</v>
      </c>
      <c r="G39" s="15"/>
      <c r="H39" s="15"/>
    </row>
    <row r="40" spans="1:8" s="23" customFormat="1" ht="18" customHeight="1">
      <c r="A40" s="274" t="s">
        <v>1553</v>
      </c>
      <c r="B40" s="18" t="e">
        <f>+'MLBSS_Receita e Despesa'!#REF!</f>
        <v>#REF!</v>
      </c>
      <c r="C40" s="18">
        <f>+'MLBSS_Receita e Despesa'!C274</f>
        <v>0</v>
      </c>
      <c r="G40" s="15"/>
      <c r="H40" s="15"/>
    </row>
    <row r="41" spans="1:8" s="23" customFormat="1" ht="18" customHeight="1">
      <c r="A41" s="268" t="s">
        <v>636</v>
      </c>
      <c r="B41" s="14" t="e">
        <f>+'MLBSS_Receita e Despesa'!#REF!</f>
        <v>#REF!</v>
      </c>
      <c r="C41" s="14">
        <f>+'MLBSS_Receita e Despesa'!C393+'MLBSS_Receita e Despesa'!C391</f>
        <v>0</v>
      </c>
      <c r="G41" s="15"/>
      <c r="H41" s="15"/>
    </row>
    <row r="42" spans="1:8" ht="18" customHeight="1">
      <c r="A42" s="268" t="s">
        <v>839</v>
      </c>
      <c r="B42" s="14" t="e">
        <f>+'MLBSS_Receita e Despesa'!#REF!</f>
        <v>#REF!</v>
      </c>
      <c r="C42" s="14">
        <f>+'MLBSS_Receita e Despesa'!C276</f>
        <v>0</v>
      </c>
      <c r="G42" s="15"/>
      <c r="H42" s="15"/>
    </row>
    <row r="43" spans="1:8" ht="21" customHeight="1" thickBot="1">
      <c r="A43" s="303" t="s">
        <v>976</v>
      </c>
      <c r="B43" s="304" t="e">
        <f>+B13+B14+B19+B26</f>
        <v>#REF!</v>
      </c>
      <c r="C43" s="304">
        <f>+C13+C14+C19+C26</f>
        <v>38642668933.485</v>
      </c>
      <c r="G43" s="15"/>
      <c r="H43" s="15"/>
    </row>
    <row r="44" spans="1:8" ht="21" customHeight="1" thickTop="1">
      <c r="A44" s="301" t="s">
        <v>840</v>
      </c>
      <c r="B44" s="302" t="e">
        <f>+B45+B58+B60</f>
        <v>#REF!</v>
      </c>
      <c r="C44" s="302">
        <f>+C45+C58+C60</f>
        <v>7440061</v>
      </c>
      <c r="G44" s="15"/>
      <c r="H44" s="15"/>
    </row>
    <row r="45" spans="1:8" ht="18" customHeight="1">
      <c r="A45" s="19" t="s">
        <v>1554</v>
      </c>
      <c r="B45" s="14" t="e">
        <f>+B46+B52</f>
        <v>#REF!</v>
      </c>
      <c r="C45" s="14">
        <f>+C46+C52+C55</f>
        <v>7335936</v>
      </c>
      <c r="G45" s="15"/>
      <c r="H45" s="15"/>
    </row>
    <row r="46" spans="1:8" ht="18" customHeight="1">
      <c r="A46" s="19" t="s">
        <v>1555</v>
      </c>
      <c r="B46" s="14" t="e">
        <f>SUM(B47:B50)</f>
        <v>#REF!</v>
      </c>
      <c r="C46" s="14">
        <f>SUM(C47:C51)</f>
        <v>7335936</v>
      </c>
      <c r="G46" s="15"/>
      <c r="H46" s="15"/>
    </row>
    <row r="47" spans="1:8" s="23" customFormat="1" ht="18" customHeight="1">
      <c r="A47" s="267" t="s">
        <v>994</v>
      </c>
      <c r="B47" s="21" t="e">
        <f>+'MLBSS_Receita e Despesa'!#REF!</f>
        <v>#REF!</v>
      </c>
      <c r="C47" s="21">
        <f>+'MLBSS_Receita e Despesa'!C284</f>
        <v>0</v>
      </c>
      <c r="G47" s="15"/>
      <c r="H47" s="15"/>
    </row>
    <row r="48" spans="1:8" s="23" customFormat="1" ht="18" customHeight="1">
      <c r="A48" s="274" t="s">
        <v>892</v>
      </c>
      <c r="B48" s="21" t="e">
        <f>+'MLBSS_Receita e Despesa'!#REF!</f>
        <v>#REF!</v>
      </c>
      <c r="C48" s="21">
        <f>+'MLBSS_Receita e Despesa'!C285</f>
        <v>0</v>
      </c>
      <c r="G48" s="15"/>
      <c r="H48" s="15"/>
    </row>
    <row r="49" spans="1:8" s="23" customFormat="1" ht="18" customHeight="1">
      <c r="A49" s="267" t="s">
        <v>970</v>
      </c>
      <c r="B49" s="21" t="e">
        <f>+'MLBSS_Receita e Despesa'!#REF!</f>
        <v>#REF!</v>
      </c>
      <c r="C49" s="21">
        <f>+'MLBSS_Receita e Despesa'!C286</f>
        <v>0</v>
      </c>
      <c r="G49" s="15"/>
      <c r="H49" s="15"/>
    </row>
    <row r="50" spans="1:8" s="23" customFormat="1" ht="18" customHeight="1">
      <c r="A50" s="267" t="s">
        <v>574</v>
      </c>
      <c r="B50" s="21" t="e">
        <f>+'MLBSS_Receita e Despesa'!#REF!</f>
        <v>#REF!</v>
      </c>
      <c r="C50" s="21">
        <f>+'MLBSS_Receita e Despesa'!C287</f>
        <v>7335936</v>
      </c>
      <c r="G50" s="15"/>
      <c r="H50" s="15"/>
    </row>
    <row r="51" spans="1:8" ht="18" customHeight="1">
      <c r="A51" s="266" t="s">
        <v>152</v>
      </c>
      <c r="B51" s="18"/>
      <c r="C51" s="18">
        <f>+'MLBSS_Receita e Despesa'!C288</f>
        <v>0</v>
      </c>
      <c r="G51" s="15"/>
      <c r="H51" s="15"/>
    </row>
    <row r="52" spans="1:8" ht="18" customHeight="1">
      <c r="A52" s="268" t="s">
        <v>971</v>
      </c>
      <c r="B52" s="14" t="e">
        <f>SUM(B53:B54)</f>
        <v>#REF!</v>
      </c>
      <c r="C52" s="14">
        <f>SUM(C53:C54)</f>
        <v>0</v>
      </c>
      <c r="G52" s="15"/>
      <c r="H52" s="15"/>
    </row>
    <row r="53" spans="1:8" s="23" customFormat="1" ht="18" customHeight="1">
      <c r="A53" s="274" t="s">
        <v>892</v>
      </c>
      <c r="B53" s="21" t="e">
        <f>+'MLBSS_Receita e Despesa'!#REF!</f>
        <v>#REF!</v>
      </c>
      <c r="C53" s="21">
        <f>+'MLBSS_Receita e Despesa'!C290</f>
        <v>0</v>
      </c>
      <c r="G53" s="15"/>
      <c r="H53" s="15"/>
    </row>
    <row r="54" spans="1:8" s="23" customFormat="1" ht="18" customHeight="1">
      <c r="A54" s="267" t="s">
        <v>970</v>
      </c>
      <c r="B54" s="21" t="e">
        <f>+'MLBSS_Receita e Despesa'!#REF!</f>
        <v>#REF!</v>
      </c>
      <c r="C54" s="21">
        <f>+'MLBSS_Receita e Despesa'!C291</f>
        <v>0</v>
      </c>
      <c r="G54" s="15"/>
      <c r="H54" s="15"/>
    </row>
    <row r="55" spans="1:8" s="23" customFormat="1" ht="18" customHeight="1">
      <c r="A55" s="268" t="s">
        <v>153</v>
      </c>
      <c r="B55" s="21"/>
      <c r="C55" s="554">
        <f>+C56</f>
        <v>0</v>
      </c>
      <c r="G55" s="15"/>
      <c r="H55" s="15"/>
    </row>
    <row r="56" spans="1:8" s="23" customFormat="1" ht="18" customHeight="1">
      <c r="A56" s="266" t="s">
        <v>152</v>
      </c>
      <c r="B56" s="21"/>
      <c r="C56" s="21">
        <f>+'MLBSS_Receita e Despesa'!C293</f>
        <v>0</v>
      </c>
      <c r="G56" s="15"/>
      <c r="H56" s="15"/>
    </row>
    <row r="57" spans="1:8" ht="18" customHeight="1">
      <c r="A57" s="279"/>
      <c r="B57" s="18"/>
      <c r="C57" s="18"/>
      <c r="G57" s="15"/>
      <c r="H57" s="15"/>
    </row>
    <row r="58" spans="1:8" ht="18" customHeight="1">
      <c r="A58" s="268" t="s">
        <v>106</v>
      </c>
      <c r="B58" s="14" t="e">
        <f>+'MLBSS_Receita e Despesa'!#REF!</f>
        <v>#REF!</v>
      </c>
      <c r="C58" s="14">
        <f>+'MLBSS_Receita e Despesa'!C433</f>
        <v>10</v>
      </c>
      <c r="G58" s="15"/>
      <c r="H58" s="15"/>
    </row>
    <row r="59" spans="1:8" ht="15.75" customHeight="1">
      <c r="A59" s="19"/>
      <c r="B59" s="18"/>
      <c r="C59" s="18"/>
      <c r="G59" s="15"/>
      <c r="H59" s="15"/>
    </row>
    <row r="60" spans="1:8" s="273" customFormat="1" ht="18" customHeight="1">
      <c r="A60" s="19" t="s">
        <v>1019</v>
      </c>
      <c r="B60" s="14" t="e">
        <f>+'MLBSS_Receita e Despesa'!#REF!</f>
        <v>#REF!</v>
      </c>
      <c r="C60" s="14">
        <f>+'MLBSS_Receita e Despesa'!C301</f>
        <v>104115</v>
      </c>
      <c r="G60" s="15"/>
      <c r="H60" s="15"/>
    </row>
    <row r="61" spans="1:8" ht="18" customHeight="1">
      <c r="A61" s="279"/>
      <c r="B61" s="18"/>
      <c r="C61" s="18"/>
      <c r="G61" s="15"/>
      <c r="H61" s="15"/>
    </row>
    <row r="62" spans="1:8" ht="18" customHeight="1">
      <c r="A62" s="279"/>
      <c r="B62" s="18"/>
      <c r="C62" s="18"/>
      <c r="G62" s="15"/>
      <c r="H62" s="15"/>
    </row>
    <row r="63" spans="1:8" ht="20.25" customHeight="1" thickBot="1">
      <c r="A63" s="305" t="s">
        <v>977</v>
      </c>
      <c r="B63" s="306" t="e">
        <f>+B13+B14+B19+B26+B44</f>
        <v>#REF!</v>
      </c>
      <c r="C63" s="306">
        <f>+C13+C14+C19+C26+C44</f>
        <v>38650108994.485</v>
      </c>
      <c r="G63" s="15"/>
      <c r="H63" s="15"/>
    </row>
    <row r="64" spans="1:8" ht="20.25" customHeight="1" thickTop="1">
      <c r="A64" s="308" t="s">
        <v>978</v>
      </c>
      <c r="B64" s="302"/>
      <c r="C64" s="302"/>
      <c r="G64" s="15"/>
      <c r="H64" s="15"/>
    </row>
    <row r="65" spans="1:8" ht="20.25" customHeight="1">
      <c r="A65" s="309" t="s">
        <v>979</v>
      </c>
      <c r="B65" s="298" t="e">
        <f>+B66+B70+B71+B72+B73+B74+B91+B98+B104</f>
        <v>#REF!</v>
      </c>
      <c r="C65" s="298">
        <f>+C66+C70+C71+C72+C73+C74+C91+C98+C104</f>
        <v>21280131015</v>
      </c>
      <c r="G65" s="15"/>
      <c r="H65" s="15"/>
    </row>
    <row r="66" spans="1:8" s="273" customFormat="1" ht="18" customHeight="1">
      <c r="A66" s="268" t="s">
        <v>92</v>
      </c>
      <c r="B66" s="14" t="e">
        <f>+B67+B68+B69</f>
        <v>#REF!</v>
      </c>
      <c r="C66" s="14">
        <f>+C67+C68+C69</f>
        <v>14518334049</v>
      </c>
      <c r="G66" s="15"/>
      <c r="H66" s="15"/>
    </row>
    <row r="67" spans="1:8" ht="18" customHeight="1">
      <c r="A67" s="274" t="s">
        <v>972</v>
      </c>
      <c r="B67" s="18" t="e">
        <f>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</f>
        <v>#REF!</v>
      </c>
      <c r="C67" s="18">
        <f>+'MLBSS_Receita e Despesa'!K43+'MLBSS_Receita e Despesa'!K53+'MLBSS_Receita e Despesa'!K65+'MLBSS_Receita e Despesa'!K76+'MLBSS_Receita e Despesa'!K83+'MLBSS_Receita e Despesa'!K89+'MLBSS_Receita e Despesa'!K94+'MLBSS_Receita e Despesa'!K164+'MLBSS_Receita e Despesa'!K180+'MLBSS_Receita e Despesa'!K197+'MLBSS_Receita e Despesa'!K206+'MLBSS_Receita e Despesa'!K364+'MLBSS_Receita e Despesa'!K369+'MLBSS_Receita e Despesa'!K376</f>
        <v>1966701628</v>
      </c>
      <c r="G67" s="15"/>
      <c r="H67" s="15"/>
    </row>
    <row r="68" spans="1:8" ht="18" customHeight="1">
      <c r="A68" s="274" t="s">
        <v>1436</v>
      </c>
      <c r="B68" s="18" t="e">
        <f>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</f>
        <v>#REF!</v>
      </c>
      <c r="C68" s="18">
        <f>+'MLBSS_Receita e Despesa'!K41+'MLBSS_Receita e Despesa'!K51+'MLBSS_Receita e Despesa'!K56+'MLBSS_Receita e Despesa'!K63+'MLBSS_Receita e Despesa'!K68+'MLBSS_Receita e Despesa'!K74+'MLBSS_Receita e Despesa'!K81+'MLBSS_Receita e Despesa'!K87+'MLBSS_Receita e Despesa'!K92+'MLBSS_Receita e Despesa'!K150+'MLBSS_Receita e Despesa'!K162+'MLBSS_Receita e Despesa'!K178+'MLBSS_Receita e Despesa'!K195+'MLBSS_Receita e Despesa'!K204+'MLBSS_Receita e Despesa'!K367+'MLBSS_Receita e Despesa'!K374</f>
        <v>1402085529</v>
      </c>
      <c r="G68" s="15"/>
      <c r="H68" s="15"/>
    </row>
    <row r="69" spans="1:8" ht="18" customHeight="1">
      <c r="A69" s="274" t="s">
        <v>1437</v>
      </c>
      <c r="B69" s="18" t="e">
        <f>+'MLBSS_Receita e Despesa'!#REF!++'MLBSS_Receita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</f>
        <v>#REF!</v>
      </c>
      <c r="C69" s="18">
        <f>+'MLBSS_Receita e Despesa'!K42++'MLBSS_Receita e Despesa'!K52+'MLBSS_Receita e Despesa'!K57+'MLBSS_Receita e Despesa'!K64+'MLBSS_Receita e Despesa'!K69+'MLBSS_Receita e Despesa'!K75+'MLBSS_Receita e Despesa'!K82+'MLBSS_Receita e Despesa'!K88+'MLBSS_Receita e Despesa'!K93+'MLBSS_Receita e Despesa'!K101+'MLBSS_Receita e Despesa'!K151+'MLBSS_Receita e Despesa'!K163+'MLBSS_Receita e Despesa'!K179+'MLBSS_Receita e Despesa'!K196+'MLBSS_Receita e Despesa'!K205+'MLBSS_Receita e Despesa'!K363+'MLBSS_Receita e Despesa'!K368+'MLBSS_Receita e Despesa'!K371+'MLBSS_Receita e Despesa'!K375+'MLBSS_Receita e Despesa'!K378</f>
        <v>11149546892</v>
      </c>
      <c r="G69" s="15"/>
      <c r="H69" s="15"/>
    </row>
    <row r="70" spans="1:8" ht="18" customHeight="1">
      <c r="A70" s="268" t="s">
        <v>631</v>
      </c>
      <c r="B70" s="14" t="e">
        <f>+'MLBSS_Receita e Despesa'!#REF!</f>
        <v>#REF!</v>
      </c>
      <c r="C70" s="14">
        <f>+'MLBSS_Receita e Despesa'!K19</f>
        <v>420000000</v>
      </c>
      <c r="G70" s="15"/>
      <c r="H70" s="15"/>
    </row>
    <row r="71" spans="1:8" s="273" customFormat="1" ht="18" customHeight="1">
      <c r="A71" s="268" t="s">
        <v>333</v>
      </c>
      <c r="B71" s="14" t="e">
        <f>+'MLBSS_Receita e Despesa'!#REF!+'MLBSS_Receita e Despesa'!#REF!+'MLBSS_Receita e Despesa'!#REF!+'MLBSS_Receita e Despesa'!#REF!</f>
        <v>#REF!</v>
      </c>
      <c r="C71" s="14">
        <f>+'MLBSS_Receita e Despesa'!K31+'MLBSS_Receita e Despesa'!K147+'MLBSS_Receita e Despesa'!K168+'MLBSS_Receita e Despesa'!K184</f>
        <v>681822801</v>
      </c>
      <c r="G71" s="15"/>
      <c r="H71" s="15"/>
    </row>
    <row r="72" spans="1:8" s="273" customFormat="1" ht="18" customHeight="1">
      <c r="A72" s="268" t="s">
        <v>1081</v>
      </c>
      <c r="B72" s="14" t="e">
        <f>+'MLBSS_Receita e Despesa'!#REF!+'MLBSS_Receita e Despesa'!#REF!+'MLBSS_Receita e Despesa'!#REF!</f>
        <v>#REF!</v>
      </c>
      <c r="C72" s="14">
        <f>+'MLBSS_Receita e Despesa'!K30+'MLBSS_Receita e Despesa'!K46+'MLBSS_Receita e Despesa'!K354</f>
        <v>453735732</v>
      </c>
      <c r="G72" s="15"/>
      <c r="H72" s="15"/>
    </row>
    <row r="73" spans="1:8" s="273" customFormat="1" ht="18" customHeight="1">
      <c r="A73" s="268" t="s">
        <v>480</v>
      </c>
      <c r="B73" s="14" t="e">
        <f>+'MLBSS_Receita e Despesa'!#REF!+'MLBSS_Receita e Despesa'!#REF!+'MLBSS_Receita e Despesa'!#REF!+'MLBSS_Receita e Despesa'!#REF!+'MLBSS_Receita e Despesa'!#REF!+'MLBSS_Receita e Despesa'!#REF!+'MLBSS_Receita e Despesa'!#REF!+'MLBSS_Receita e Despesa'!#REF!</f>
        <v>#REF!</v>
      </c>
      <c r="C73" s="14">
        <f>+'MLBSS_Receita e Despesa'!K21+'MLBSS_Receita e Despesa'!K45+'MLBSS_Receita e Despesa'!K358+'MLBSS_Receita e Despesa'!K359+'MLBSS_Receita e Despesa'!K391+'MLBSS_Receita e Despesa'!K392+'MLBSS_Receita e Despesa'!K393+'MLBSS_Receita e Despesa'!K394</f>
        <v>2122094965</v>
      </c>
      <c r="G73" s="15"/>
      <c r="H73" s="15"/>
    </row>
    <row r="74" spans="1:8" s="273" customFormat="1" ht="18" customHeight="1">
      <c r="A74" s="268" t="s">
        <v>1427</v>
      </c>
      <c r="B74" s="14" t="e">
        <f>SUM(B75:B90)</f>
        <v>#REF!</v>
      </c>
      <c r="C74" s="14">
        <f>SUM(C75:C90)</f>
        <v>1107003217</v>
      </c>
      <c r="G74" s="15"/>
      <c r="H74" s="15"/>
    </row>
    <row r="75" spans="1:8" s="273" customFormat="1" ht="18" customHeight="1">
      <c r="A75" s="25" t="s">
        <v>922</v>
      </c>
      <c r="B75" s="21" t="e">
        <f>+'MLBSS_Receita e Despesa'!#REF!+'MLBSS_Receita e Despesa'!#REF!</f>
        <v>#REF!</v>
      </c>
      <c r="C75" s="21">
        <f>+'MLBSS_Receita e Despesa'!K34+'MLBSS_Receita e Despesa'!K35</f>
        <v>731805</v>
      </c>
      <c r="G75" s="15"/>
      <c r="H75" s="15"/>
    </row>
    <row r="76" spans="1:8" s="273" customFormat="1" ht="18" customHeight="1">
      <c r="A76" s="25" t="s">
        <v>924</v>
      </c>
      <c r="B76" s="21" t="e">
        <f>+'MLBSS_Receita e Despesa'!#REF!</f>
        <v>#REF!</v>
      </c>
      <c r="C76" s="21">
        <f>+'MLBSS_Receita e Despesa'!K25</f>
        <v>1266657</v>
      </c>
      <c r="G76" s="15"/>
      <c r="H76" s="15"/>
    </row>
    <row r="77" spans="1:8" s="273" customFormat="1" ht="18" customHeight="1">
      <c r="A77" s="25" t="s">
        <v>967</v>
      </c>
      <c r="B77" s="21" t="e">
        <f>+'MLBSS_Receita e Despesa'!#REF!</f>
        <v>#REF!</v>
      </c>
      <c r="C77" s="21">
        <f>+'MLBSS_Receita e Despesa'!K48</f>
        <v>661000</v>
      </c>
      <c r="G77" s="15"/>
      <c r="H77" s="15"/>
    </row>
    <row r="78" spans="1:8" s="273" customFormat="1" ht="18" customHeight="1">
      <c r="A78" s="25" t="s">
        <v>1231</v>
      </c>
      <c r="B78" s="18" t="e">
        <f>+'MLBSS_Receita e Despesa'!#REF!</f>
        <v>#REF!</v>
      </c>
      <c r="C78" s="18">
        <f>+'MLBSS_Receita e Despesa'!K23</f>
        <v>276612996</v>
      </c>
      <c r="G78" s="15"/>
      <c r="H78" s="15"/>
    </row>
    <row r="79" spans="1:8" s="23" customFormat="1" ht="18" customHeight="1">
      <c r="A79" s="25" t="s">
        <v>481</v>
      </c>
      <c r="B79" s="21" t="e">
        <f>+'MLBSS_Receita e Despesa'!#REF!+'MLBSS_Receita e Despesa'!#REF!+'MLBSS_Receita e Despesa'!#REF!+'MLBSS_Receita e Despesa'!#REF!</f>
        <v>#REF!</v>
      </c>
      <c r="C79" s="21">
        <f>+'MLBSS_Receita e Despesa'!K32+'MLBSS_Receita e Despesa'!K154+'MLBSS_Receita e Despesa'!K170+'MLBSS_Receita e Despesa'!K187</f>
        <v>72888287</v>
      </c>
      <c r="G79" s="15"/>
      <c r="H79" s="15"/>
    </row>
    <row r="80" spans="1:8" s="23" customFormat="1" ht="18" customHeight="1">
      <c r="A80" s="280" t="s">
        <v>1524</v>
      </c>
      <c r="B80" s="21" t="e">
        <f>+'MLBSS_Receita e Despesa'!#REF!+'MLBSS_Receita e Despesa'!#REF!+'MLBSS_Receita e Despesa'!#REF!</f>
        <v>#REF!</v>
      </c>
      <c r="C80" s="21">
        <f>+'MLBSS_Receita e Despesa'!K156+'MLBSS_Receita e Despesa'!K173+'MLBSS_Receita e Despesa'!K190</f>
        <v>9889745</v>
      </c>
      <c r="G80" s="15"/>
      <c r="H80" s="15"/>
    </row>
    <row r="81" spans="1:8" s="23" customFormat="1" ht="18" customHeight="1">
      <c r="A81" s="280" t="s">
        <v>966</v>
      </c>
      <c r="B81" s="21" t="e">
        <f>+'MLBSS_Receita e Despesa'!#REF!+'MLBSS_Receita e Despesa'!#REF!+'MLBSS_Receita e Despesa'!#REF!</f>
        <v>#REF!</v>
      </c>
      <c r="C81" s="21">
        <f>+'MLBSS_Receita e Despesa'!K157+'MLBSS_Receita e Despesa'!K174+'MLBSS_Receita e Despesa'!K191</f>
        <v>4077196</v>
      </c>
      <c r="G81" s="15"/>
      <c r="H81" s="15"/>
    </row>
    <row r="82" spans="1:8" s="23" customFormat="1" ht="18" customHeight="1">
      <c r="A82" s="25" t="s">
        <v>108</v>
      </c>
      <c r="B82" s="21" t="e">
        <f>+'MLBSS_Receita e Despesa'!#REF!+'MLBSS_Receita e Despesa'!#REF!+'MLBSS_Receita e Despesa'!#REF!</f>
        <v>#REF!</v>
      </c>
      <c r="C82" s="21">
        <f>+'MLBSS_Receita e Despesa'!K155+'MLBSS_Receita e Despesa'!K171+'MLBSS_Receita e Despesa'!K188</f>
        <v>24194190</v>
      </c>
      <c r="G82" s="15"/>
      <c r="H82" s="15"/>
    </row>
    <row r="83" spans="1:8" s="23" customFormat="1" ht="18" customHeight="1">
      <c r="A83" s="25" t="s">
        <v>1418</v>
      </c>
      <c r="B83" s="21" t="e">
        <f>+'MLBSS_Receita e Despesa'!#REF!+'MLBSS_Receita e Despesa'!#REF!+'MLBSS_Receita e Despesa'!#REF!+'MLBSS_Receita e Despesa'!#REF!</f>
        <v>#REF!</v>
      </c>
      <c r="C83" s="21">
        <f>+'MLBSS_Receita e Despesa'!K59+'MLBSS_Receita e Despesa'!K148+'MLBSS_Receita e Despesa'!K185+'MLBSS_Receita e Despesa'!K201</f>
        <v>3638667</v>
      </c>
      <c r="G83" s="15"/>
      <c r="H83" s="15"/>
    </row>
    <row r="84" spans="1:8" s="23" customFormat="1" ht="18" customHeight="1">
      <c r="A84" s="25" t="s">
        <v>965</v>
      </c>
      <c r="B84" s="21" t="e">
        <f>+'MLBSS_Receita e Despesa'!#REF!+'MLBSS_Receita e Despesa'!#REF!+'MLBSS_Receita e Despesa'!#REF!</f>
        <v>#REF!</v>
      </c>
      <c r="C84" s="21">
        <f>+'MLBSS_Receita e Despesa'!K158+'MLBSS_Receita e Despesa'!K172+'MLBSS_Receita e Despesa'!K189</f>
        <v>29919098</v>
      </c>
      <c r="G84" s="15"/>
      <c r="H84" s="15"/>
    </row>
    <row r="85" spans="1:8" s="23" customFormat="1" ht="18" customHeight="1">
      <c r="A85" s="25" t="s">
        <v>1082</v>
      </c>
      <c r="B85" s="21" t="e">
        <f>+'MLBSS_Receita e Despesa'!#REF!</f>
        <v>#REF!</v>
      </c>
      <c r="C85" s="21">
        <f>+'MLBSS_Receita e Despesa'!K355</f>
        <v>3724384</v>
      </c>
      <c r="G85" s="15"/>
      <c r="H85" s="15"/>
    </row>
    <row r="86" spans="1:8" s="23" customFormat="1" ht="18" customHeight="1">
      <c r="A86" s="25" t="s">
        <v>97</v>
      </c>
      <c r="B86" s="21" t="e">
        <f>+'MLBSS_Receita e Despesa'!#REF!+'MLBSS_Receita e Despesa'!#REF!+'MLBSS_Receita e Despesa'!#REF!</f>
        <v>#REF!</v>
      </c>
      <c r="C86" s="21">
        <f>+'MLBSS_Receita e Despesa'!K356+'MLBSS_Receita e Despesa'!K47+'MLBSS_Receita e Despesa'!K29</f>
        <v>431355016</v>
      </c>
      <c r="G86" s="15"/>
      <c r="H86" s="15"/>
    </row>
    <row r="87" spans="1:8" s="23" customFormat="1" ht="18" customHeight="1">
      <c r="A87" s="25" t="s">
        <v>1525</v>
      </c>
      <c r="B87" s="21" t="e">
        <f>+'MLBSS_Receita e Despesa'!#REF!</f>
        <v>#REF!</v>
      </c>
      <c r="C87" s="21">
        <f>+'MLBSS_Receita e Despesa'!K357</f>
        <v>17356285</v>
      </c>
      <c r="G87" s="15"/>
      <c r="H87" s="15"/>
    </row>
    <row r="88" spans="1:8" s="23" customFormat="1" ht="18" customHeight="1">
      <c r="A88" s="25" t="s">
        <v>23</v>
      </c>
      <c r="B88" s="21" t="e">
        <f>+'MLBSS_Receita e Despesa'!#REF!+'MLBSS_Receita e Despesa'!#REF!+'MLBSS_Receita e Despesa'!#REF!+'MLBSS_Receita e Despesa'!#REF!</f>
        <v>#REF!</v>
      </c>
      <c r="C88" s="21">
        <f>+'MLBSS_Receita e Despesa'!K70+'MLBSS_Receita e Despesa'!K77+'MLBSS_Receita e Despesa'!K84+'MLBSS_Receita e Despesa'!K360</f>
        <v>220554991</v>
      </c>
      <c r="G88" s="15"/>
      <c r="H88" s="15"/>
    </row>
    <row r="89" spans="1:8" s="23" customFormat="1" ht="18" customHeight="1">
      <c r="A89" s="25" t="s">
        <v>322</v>
      </c>
      <c r="B89" s="21" t="e">
        <f>+'MLBSS_Receita e Despesa'!#REF!</f>
        <v>#REF!</v>
      </c>
      <c r="C89" s="21">
        <f>+'MLBSS_Receita e Despesa'!K385</f>
        <v>4953120</v>
      </c>
      <c r="G89" s="15"/>
      <c r="H89" s="15"/>
    </row>
    <row r="90" spans="1:8" s="23" customFormat="1" ht="18" customHeight="1">
      <c r="A90" s="25" t="s">
        <v>968</v>
      </c>
      <c r="B90" s="21" t="e">
        <f>+'MLBSS_Receita e Despesa'!#REF!</f>
        <v>#REF!</v>
      </c>
      <c r="C90" s="21">
        <f>+'MLBSS_Receita e Despesa'!K387</f>
        <v>5179780</v>
      </c>
      <c r="G90" s="15"/>
      <c r="H90" s="15"/>
    </row>
    <row r="91" spans="1:8" s="281" customFormat="1" ht="18" customHeight="1">
      <c r="A91" s="19" t="s">
        <v>356</v>
      </c>
      <c r="B91" s="14" t="e">
        <f>SUM(B92:B97)</f>
        <v>#REF!</v>
      </c>
      <c r="C91" s="14">
        <f>SUM(C92:C97)</f>
        <v>1581397291</v>
      </c>
      <c r="G91" s="15"/>
      <c r="H91" s="15"/>
    </row>
    <row r="92" spans="1:8" s="23" customFormat="1" ht="18" customHeight="1">
      <c r="A92" s="25" t="s">
        <v>179</v>
      </c>
      <c r="B92" s="21" t="e">
        <f>+'MLBSS_Receita e Despesa'!#REF!</f>
        <v>#REF!</v>
      </c>
      <c r="C92" s="21">
        <f>+'MLBSS_Receita e Despesa'!K252</f>
        <v>1457229417</v>
      </c>
      <c r="G92" s="15"/>
      <c r="H92" s="15"/>
    </row>
    <row r="93" spans="1:8" s="23" customFormat="1" ht="18" customHeight="1">
      <c r="A93" s="25" t="s">
        <v>1285</v>
      </c>
      <c r="B93" s="21" t="e">
        <f>+'MLBSS_Receita e Despesa'!#REF!</f>
        <v>#REF!</v>
      </c>
      <c r="C93" s="21">
        <f>+'MLBSS_Receita e Despesa'!K246</f>
        <v>21857928</v>
      </c>
      <c r="G93" s="15"/>
      <c r="H93" s="15"/>
    </row>
    <row r="94" spans="1:8" s="23" customFormat="1" ht="18" customHeight="1">
      <c r="A94" s="25" t="s">
        <v>459</v>
      </c>
      <c r="B94" s="21" t="e">
        <f>+'MLBSS_Receita e Despesa'!#REF!</f>
        <v>#REF!</v>
      </c>
      <c r="C94" s="21">
        <f>+'MLBSS_Receita e Despesa'!K247</f>
        <v>1415794</v>
      </c>
      <c r="G94" s="15"/>
      <c r="H94" s="15"/>
    </row>
    <row r="95" spans="1:8" s="23" customFormat="1" ht="18" customHeight="1">
      <c r="A95" s="25" t="s">
        <v>766</v>
      </c>
      <c r="B95" s="21" t="e">
        <f>+'MLBSS_Receita e Despesa'!#REF!</f>
        <v>#REF!</v>
      </c>
      <c r="C95" s="21">
        <f>+'MLBSS_Receita e Despesa'!K248</f>
        <v>34216990</v>
      </c>
      <c r="G95" s="15"/>
      <c r="H95" s="15"/>
    </row>
    <row r="96" spans="1:8" s="23" customFormat="1" ht="18" customHeight="1">
      <c r="A96" s="25" t="s">
        <v>630</v>
      </c>
      <c r="B96" s="21" t="e">
        <f>+'MLBSS_Receita e Despesa'!#REF!</f>
        <v>#REF!</v>
      </c>
      <c r="C96" s="21">
        <f>+'MLBSS_Receita e Despesa'!K250</f>
        <v>25213313</v>
      </c>
      <c r="G96" s="15"/>
      <c r="H96" s="15"/>
    </row>
    <row r="97" spans="1:8" s="23" customFormat="1" ht="18" customHeight="1">
      <c r="A97" s="25" t="s">
        <v>338</v>
      </c>
      <c r="B97" s="21" t="e">
        <f>+'MLBSS_Receita e Despesa'!#REF!</f>
        <v>#REF!</v>
      </c>
      <c r="C97" s="21">
        <f>+'MLBSS_Receita e Despesa'!K249-55513173</f>
        <v>41463849</v>
      </c>
      <c r="G97" s="15"/>
      <c r="H97" s="15"/>
    </row>
    <row r="98" spans="1:8" s="273" customFormat="1" ht="18" customHeight="1">
      <c r="A98" s="19" t="s">
        <v>949</v>
      </c>
      <c r="B98" s="14" t="e">
        <f>SUM(B99:B103)</f>
        <v>#REF!</v>
      </c>
      <c r="C98" s="14">
        <f>SUM(C99:C103)</f>
        <v>392742960</v>
      </c>
      <c r="G98" s="15"/>
      <c r="H98" s="15"/>
    </row>
    <row r="99" spans="1:8" s="23" customFormat="1" ht="18" customHeight="1">
      <c r="A99" s="267" t="s">
        <v>138</v>
      </c>
      <c r="B99" s="21" t="e">
        <f>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Despesa'!#REF!+'MLBSS_Receita e Despesa'!#REF!</f>
        <v>#REF!</v>
      </c>
      <c r="C99" s="21">
        <f>+'MLBSS_Receita e Despesa'!K422+'MLBSS_Receita e Despesa'!K419+'MLBSS_Receita e Despesa'!K418+'MLBSS_Receita e Despesa'!K416+'MLBSS_Receita e Despesa'!K269+'MLBSS_Receita e Despesa'!K268+'MLBSS_Receita e Despesa'!K267+'MLBSS_Receita e Despesa'!K266+'MLBSS_Receita e Despesa'!K265+'MLBSS_Receita e Despesa'!K264+'MLBSS_Receita e Despesa'!K208+'MLBSS_Receita e Despesa'!K104+'MLBSS_Receita e Despesa'!K103</f>
        <v>378049968</v>
      </c>
      <c r="G99" s="15"/>
      <c r="H99" s="15"/>
    </row>
    <row r="100" spans="1:8" s="23" customFormat="1" ht="18" customHeight="1">
      <c r="A100" s="267" t="s">
        <v>706</v>
      </c>
      <c r="B100" s="21" t="e">
        <f>+'MLBSS_Receita e Despesa'!#REF!</f>
        <v>#REF!</v>
      </c>
      <c r="C100" s="21">
        <f>+'MLBSS_Receita e Despesa'!K417</f>
        <v>8500000</v>
      </c>
      <c r="G100" s="15"/>
      <c r="H100" s="15"/>
    </row>
    <row r="101" spans="1:8" s="23" customFormat="1" ht="18" customHeight="1">
      <c r="A101" s="267" t="s">
        <v>139</v>
      </c>
      <c r="B101" s="21" t="e">
        <f>+'MLBSS_Receita e Despesa'!#REF!+'MLBSS_Receita e Despesa'!#REF!</f>
        <v>#REF!</v>
      </c>
      <c r="C101" s="21">
        <f>+'MLBSS_Receita e Despesa'!K420+'MLBSS_Receita e Despesa'!K421</f>
        <v>0</v>
      </c>
      <c r="G101" s="15"/>
      <c r="H101" s="15"/>
    </row>
    <row r="102" spans="1:8" s="23" customFormat="1" ht="18" customHeight="1">
      <c r="A102" s="267" t="s">
        <v>140</v>
      </c>
      <c r="B102" s="21" t="e">
        <f>+'MLBSS_Receita e Despesa'!#REF!</f>
        <v>#REF!</v>
      </c>
      <c r="C102" s="21">
        <f>+'MLBSS_Receita e Despesa'!K483</f>
        <v>3598185</v>
      </c>
      <c r="G102" s="15"/>
      <c r="H102" s="15"/>
    </row>
    <row r="103" spans="1:8" s="23" customFormat="1" ht="18" customHeight="1">
      <c r="A103" s="267" t="s">
        <v>1078</v>
      </c>
      <c r="B103" s="282" t="e">
        <f>+'MLBSS_Receita e Despesa'!#REF!</f>
        <v>#REF!</v>
      </c>
      <c r="C103" s="282">
        <f>+'MLBSS_Receita e Despesa'!K482</f>
        <v>2594807</v>
      </c>
      <c r="G103" s="15"/>
      <c r="H103" s="15"/>
    </row>
    <row r="104" spans="1:8" s="273" customFormat="1" ht="18" customHeight="1" thickBot="1">
      <c r="A104" s="283" t="s">
        <v>736</v>
      </c>
      <c r="B104" s="278" t="e">
        <f>+'MLBSS_Receita e Despesa'!#REF!</f>
        <v>#REF!</v>
      </c>
      <c r="C104" s="278">
        <f>+'MLBSS_Receita e Despesa'!K396</f>
        <v>3000000</v>
      </c>
      <c r="G104" s="15"/>
      <c r="H104" s="15"/>
    </row>
    <row r="105" spans="1:8" ht="21" customHeight="1" thickTop="1">
      <c r="A105" s="301" t="s">
        <v>980</v>
      </c>
      <c r="B105" s="302" t="e">
        <f>+B106+B109+B110+B111+B112+B113</f>
        <v>#REF!</v>
      </c>
      <c r="C105" s="302">
        <f>+C106+C109+C110+C111+C112+C113</f>
        <v>13722286512</v>
      </c>
      <c r="G105" s="15"/>
      <c r="H105" s="15"/>
    </row>
    <row r="106" spans="1:8" ht="18" customHeight="1">
      <c r="A106" s="19" t="s">
        <v>1554</v>
      </c>
      <c r="B106" s="14" t="e">
        <f>+B107+B108</f>
        <v>#REF!</v>
      </c>
      <c r="C106" s="14">
        <f>+C107+C108</f>
        <v>21078807</v>
      </c>
      <c r="G106" s="15"/>
      <c r="H106" s="15"/>
    </row>
    <row r="107" spans="1:8" ht="18" customHeight="1">
      <c r="A107" s="19" t="s">
        <v>1555</v>
      </c>
      <c r="B107" s="14" t="e">
        <f>+'MLBSS_Receita e Despesa'!#REF!+'MLBSS_Receita e Despesa'!#REF!</f>
        <v>#REF!</v>
      </c>
      <c r="C107" s="14">
        <f>+'MLBSS_Receita e Despesa'!K298+'MLBSS_Receita e Despesa'!K299</f>
        <v>1281307</v>
      </c>
      <c r="G107" s="15"/>
      <c r="H107" s="15"/>
    </row>
    <row r="108" spans="1:8" s="273" customFormat="1" ht="18" customHeight="1">
      <c r="A108" s="268" t="s">
        <v>623</v>
      </c>
      <c r="B108" s="14" t="e">
        <f>+'MLBSS_Receita e Despesa'!#REF!</f>
        <v>#REF!</v>
      </c>
      <c r="C108" s="14">
        <f>+'MLBSS_Receita e Despesa'!K432</f>
        <v>19797500</v>
      </c>
      <c r="G108" s="15"/>
      <c r="H108" s="15"/>
    </row>
    <row r="109" spans="1:8" s="201" customFormat="1" ht="18" customHeight="1">
      <c r="A109" s="279" t="s">
        <v>797</v>
      </c>
      <c r="B109" s="18" t="e">
        <f>+'MLBSS_Receita e Despesa'!#REF!</f>
        <v>#REF!</v>
      </c>
      <c r="C109" s="18">
        <f>+'MLBSS_Receita e Despesa'!K438</f>
        <v>0</v>
      </c>
      <c r="G109" s="15"/>
      <c r="H109" s="15"/>
    </row>
    <row r="110" spans="1:8" s="201" customFormat="1" ht="18" customHeight="1">
      <c r="A110" s="279" t="s">
        <v>707</v>
      </c>
      <c r="B110" s="18" t="e">
        <f>+'MLBSS_Receita e Despesa'!#REF!</f>
        <v>#REF!</v>
      </c>
      <c r="C110" s="18">
        <f>+'MLBSS_Receita e Despesa'!K489</f>
        <v>0</v>
      </c>
      <c r="G110" s="15"/>
      <c r="H110" s="15"/>
    </row>
    <row r="111" spans="1:8" s="201" customFormat="1" ht="18" customHeight="1">
      <c r="A111" s="279" t="s">
        <v>981</v>
      </c>
      <c r="B111" s="18" t="e">
        <f>+'MLBSS_Receita e Despesa'!#REF!</f>
        <v>#REF!</v>
      </c>
      <c r="C111" s="18">
        <f>+'MLBSS_Receita e Despesa'!K490</f>
        <v>13678996525</v>
      </c>
      <c r="G111" s="15"/>
      <c r="H111" s="15"/>
    </row>
    <row r="112" spans="1:8" s="201" customFormat="1" ht="18" customHeight="1">
      <c r="A112" s="285" t="s">
        <v>708</v>
      </c>
      <c r="B112" s="22" t="e">
        <f>+'MLBSS_Receita e Despesa'!#REF!</f>
        <v>#REF!</v>
      </c>
      <c r="C112" s="22">
        <f>+'MLBSS_Receita e Despesa'!K435</f>
        <v>518000</v>
      </c>
      <c r="G112" s="15"/>
      <c r="H112" s="15"/>
    </row>
    <row r="113" spans="1:8" s="201" customFormat="1" ht="18" customHeight="1" thickBot="1">
      <c r="A113" s="286" t="s">
        <v>919</v>
      </c>
      <c r="B113" s="24" t="e">
        <f>+'MLBSS_Receita e Despesa'!#REF!+'MLBSS_Receita e Despesa'!#REF!+'MLBSS_Receita e Despesa'!#REF!</f>
        <v>#REF!</v>
      </c>
      <c r="C113" s="24">
        <f>+'MLBSS_Receita e Despesa'!K434+'MLBSS_Receita e Despesa'!K491+'MLBSS_Receita e Despesa'!K302</f>
        <v>21693180</v>
      </c>
      <c r="G113" s="15"/>
      <c r="H113" s="15"/>
    </row>
    <row r="114" spans="1:8" ht="21" customHeight="1" thickTop="1">
      <c r="A114" s="310" t="s">
        <v>733</v>
      </c>
      <c r="B114" s="300" t="e">
        <f>SUM(B115:B124)-B118</f>
        <v>#REF!</v>
      </c>
      <c r="C114" s="300">
        <f>SUM(C115:C124)-C118</f>
        <v>2239266510.91</v>
      </c>
      <c r="G114" s="15"/>
      <c r="H114" s="15"/>
    </row>
    <row r="115" spans="1:8" ht="18" customHeight="1">
      <c r="A115" s="279" t="s">
        <v>946</v>
      </c>
      <c r="B115" s="18" t="e">
        <f>+'MLBSS_Receita e Despesa'!#REF!</f>
        <v>#REF!</v>
      </c>
      <c r="C115" s="18">
        <f>+'MLBSS_Receita e Despesa'!K399</f>
        <v>593403400</v>
      </c>
      <c r="G115" s="15"/>
      <c r="H115" s="15"/>
    </row>
    <row r="116" spans="1:8" ht="18" customHeight="1">
      <c r="A116" s="279" t="s">
        <v>378</v>
      </c>
      <c r="B116" s="18" t="e">
        <f>+'MLBSS_Receita e Despesa'!#REF!</f>
        <v>#REF!</v>
      </c>
      <c r="C116" s="18">
        <f>+'MLBSS_Receita e Despesa'!K255</f>
        <v>45000000</v>
      </c>
      <c r="G116" s="15"/>
      <c r="H116" s="15"/>
    </row>
    <row r="117" spans="1:8" ht="18" customHeight="1">
      <c r="A117" s="279" t="s">
        <v>392</v>
      </c>
      <c r="B117" s="18" t="e">
        <f>+'MLBSS_Receita e Despesa'!#REF!</f>
        <v>#REF!</v>
      </c>
      <c r="C117" s="18">
        <f>+'MLBSS_Receita e Despesa'!K37</f>
        <v>5656830</v>
      </c>
      <c r="G117" s="15"/>
      <c r="H117" s="15"/>
    </row>
    <row r="118" spans="1:8" s="273" customFormat="1" ht="18" customHeight="1">
      <c r="A118" s="19" t="s">
        <v>738</v>
      </c>
      <c r="B118" s="14" t="e">
        <f>SUM(B119:B120)</f>
        <v>#REF!</v>
      </c>
      <c r="C118" s="14">
        <f>SUM(C119:C120)</f>
        <v>1595192230.91</v>
      </c>
      <c r="G118" s="15"/>
      <c r="H118" s="15"/>
    </row>
    <row r="119" spans="1:8" s="23" customFormat="1" ht="18" customHeight="1">
      <c r="A119" s="284" t="s">
        <v>3</v>
      </c>
      <c r="B119" s="21" t="e">
        <f>+'MLBSS_Receita e Despesa'!#REF!</f>
        <v>#REF!</v>
      </c>
      <c r="C119" s="21">
        <f>+'MLBSS_Receita e Despesa'!K409</f>
        <v>1367853444</v>
      </c>
      <c r="G119" s="15"/>
      <c r="H119" s="15"/>
    </row>
    <row r="120" spans="1:8" s="23" customFormat="1" ht="18" customHeight="1">
      <c r="A120" s="284" t="s">
        <v>117</v>
      </c>
      <c r="B120" s="21" t="e">
        <f>+'MLBSS_Receita e Despesa'!#REF!</f>
        <v>#REF!</v>
      </c>
      <c r="C120" s="21">
        <f>+'MLBSS_Receita e Despesa'!K411</f>
        <v>227338786.91</v>
      </c>
      <c r="G120" s="15"/>
      <c r="H120" s="15"/>
    </row>
    <row r="121" spans="1:8" ht="18" customHeight="1">
      <c r="A121" s="279" t="s">
        <v>858</v>
      </c>
      <c r="B121" s="18" t="e">
        <f>+'MLBSS_Receita e Despesa'!#REF!</f>
        <v>#REF!</v>
      </c>
      <c r="C121" s="18">
        <f>+'MLBSS_Receita e Despesa'!K257</f>
        <v>14050</v>
      </c>
      <c r="G121" s="15"/>
      <c r="H121" s="15"/>
    </row>
    <row r="122" spans="1:8" ht="18" customHeight="1">
      <c r="A122" s="287" t="s">
        <v>841</v>
      </c>
      <c r="B122" s="18" t="e">
        <f>+'MLBSS_Receita e Despesa'!#REF!+'MLBSS_Receita e Despesa'!#REF!</f>
        <v>#REF!</v>
      </c>
      <c r="C122" s="18">
        <f>+'MLBSS_Receita e Despesa'!K397</f>
        <v>0</v>
      </c>
      <c r="G122" s="15"/>
      <c r="H122" s="15"/>
    </row>
    <row r="123" spans="1:8" ht="18" customHeight="1">
      <c r="A123" s="19" t="s">
        <v>1469</v>
      </c>
      <c r="B123" s="18" t="e">
        <f>+'MLBSS_Receita e Despesa'!#REF!</f>
        <v>#REF!</v>
      </c>
      <c r="C123" s="18">
        <f>+'MLBSS_Receita e Despesa'!K426</f>
        <v>0</v>
      </c>
      <c r="G123" s="15"/>
      <c r="H123" s="15"/>
    </row>
    <row r="124" spans="1:8" ht="18" customHeight="1">
      <c r="A124" s="19" t="s">
        <v>1470</v>
      </c>
      <c r="B124" s="18" t="e">
        <f>+'MLBSS_Receita e Despesa'!#REF!</f>
        <v>#REF!</v>
      </c>
      <c r="C124" s="18">
        <f>+'MLBSS_Receita e Despesa'!K276</f>
        <v>0</v>
      </c>
      <c r="G124" s="15"/>
      <c r="H124" s="15"/>
    </row>
    <row r="125" spans="1:8" ht="20.25" customHeight="1">
      <c r="A125" s="309" t="s">
        <v>840</v>
      </c>
      <c r="B125" s="298" t="e">
        <f>+B127+B141+B142+B140</f>
        <v>#REF!</v>
      </c>
      <c r="C125" s="298">
        <f>+C127+C141+C142+C126</f>
        <v>66065485</v>
      </c>
      <c r="G125" s="15"/>
      <c r="H125" s="15"/>
    </row>
    <row r="126" spans="1:8" s="362" customFormat="1" ht="20.25" customHeight="1">
      <c r="A126" s="561" t="s">
        <v>554</v>
      </c>
      <c r="B126" s="562">
        <v>0</v>
      </c>
      <c r="C126" s="562">
        <v>55513173</v>
      </c>
      <c r="G126" s="363"/>
      <c r="H126" s="363"/>
    </row>
    <row r="127" spans="1:8" ht="20.25" customHeight="1">
      <c r="A127" s="19" t="s">
        <v>1554</v>
      </c>
      <c r="B127" s="14" t="e">
        <f>+B128+B134+B139</f>
        <v>#REF!</v>
      </c>
      <c r="C127" s="14">
        <f>+C128+C134+C139+C137</f>
        <v>6054629</v>
      </c>
      <c r="G127" s="15"/>
      <c r="H127" s="15"/>
    </row>
    <row r="128" spans="1:8" ht="20.25" customHeight="1">
      <c r="A128" s="19" t="s">
        <v>1555</v>
      </c>
      <c r="B128" s="14" t="e">
        <f>SUM(B129:B132)</f>
        <v>#REF!</v>
      </c>
      <c r="C128" s="14">
        <f>SUM(C129:C133)</f>
        <v>6054629</v>
      </c>
      <c r="G128" s="15"/>
      <c r="H128" s="15"/>
    </row>
    <row r="129" spans="1:8" ht="20.25" customHeight="1">
      <c r="A129" s="267" t="s">
        <v>994</v>
      </c>
      <c r="B129" s="18" t="e">
        <f>+'MLBSS_Receita e Despesa'!#REF!</f>
        <v>#REF!</v>
      </c>
      <c r="C129" s="18">
        <f>+'MLBSS_Receita e Despesa'!K284</f>
        <v>0</v>
      </c>
      <c r="G129" s="15"/>
      <c r="H129" s="15"/>
    </row>
    <row r="130" spans="1:8" ht="20.25" customHeight="1">
      <c r="A130" s="274" t="s">
        <v>256</v>
      </c>
      <c r="B130" s="18" t="e">
        <f>+'MLBSS_Receita e Despesa'!#REF!</f>
        <v>#REF!</v>
      </c>
      <c r="C130" s="18">
        <f>+'MLBSS_Receita e Despesa'!K285</f>
        <v>0</v>
      </c>
      <c r="G130" s="15"/>
      <c r="H130" s="15"/>
    </row>
    <row r="131" spans="1:8" ht="20.25" customHeight="1">
      <c r="A131" s="267" t="s">
        <v>622</v>
      </c>
      <c r="B131" s="18" t="e">
        <f>+'MLBSS_Receita e Despesa'!#REF!</f>
        <v>#REF!</v>
      </c>
      <c r="C131" s="18">
        <f>+'MLBSS_Receita e Despesa'!K286</f>
        <v>0</v>
      </c>
      <c r="G131" s="15"/>
      <c r="H131" s="15"/>
    </row>
    <row r="132" spans="1:8" ht="20.25" customHeight="1">
      <c r="A132" s="267" t="s">
        <v>573</v>
      </c>
      <c r="B132" s="18" t="e">
        <f>+'MLBSS_Receita e Despesa'!#REF!</f>
        <v>#REF!</v>
      </c>
      <c r="C132" s="18">
        <f>+'MLBSS_Receita e Despesa'!K287</f>
        <v>6054629</v>
      </c>
      <c r="G132" s="15"/>
      <c r="H132" s="15"/>
    </row>
    <row r="133" spans="1:8" ht="20.25" customHeight="1">
      <c r="A133" s="266" t="s">
        <v>152</v>
      </c>
      <c r="B133" s="18"/>
      <c r="C133" s="18">
        <f>+'MLBSS_Receita e Despesa'!K288</f>
        <v>0</v>
      </c>
      <c r="G133" s="15"/>
      <c r="H133" s="15"/>
    </row>
    <row r="134" spans="1:8" ht="20.25" customHeight="1">
      <c r="A134" s="268" t="s">
        <v>971</v>
      </c>
      <c r="B134" s="14" t="e">
        <f>SUM(B135:B136)</f>
        <v>#REF!</v>
      </c>
      <c r="C134" s="14">
        <f>SUM(C135:C136)</f>
        <v>0</v>
      </c>
      <c r="G134" s="15"/>
      <c r="H134" s="15"/>
    </row>
    <row r="135" spans="1:8" ht="20.25" customHeight="1">
      <c r="A135" s="274" t="s">
        <v>256</v>
      </c>
      <c r="B135" s="18" t="e">
        <f>+'MLBSS_Receita e Despesa'!#REF!</f>
        <v>#REF!</v>
      </c>
      <c r="C135" s="18">
        <f>+'MLBSS_Receita e Despesa'!K290</f>
        <v>0</v>
      </c>
      <c r="G135" s="15"/>
      <c r="H135" s="15"/>
    </row>
    <row r="136" spans="1:8" ht="20.25" customHeight="1">
      <c r="A136" s="267" t="s">
        <v>622</v>
      </c>
      <c r="B136" s="18" t="e">
        <f>+'MLBSS_Receita e Despesa'!#REF!</f>
        <v>#REF!</v>
      </c>
      <c r="C136" s="18">
        <f>+'MLBSS_Receita e Despesa'!K291</f>
        <v>0</v>
      </c>
      <c r="G136" s="15"/>
      <c r="H136" s="15"/>
    </row>
    <row r="137" spans="1:8" ht="20.25" customHeight="1">
      <c r="A137" s="268" t="s">
        <v>153</v>
      </c>
      <c r="B137" s="18"/>
      <c r="C137" s="14">
        <f>+C138</f>
        <v>0</v>
      </c>
      <c r="G137" s="15"/>
      <c r="H137" s="15"/>
    </row>
    <row r="138" spans="1:8" ht="20.25" customHeight="1">
      <c r="A138" s="266" t="s">
        <v>152</v>
      </c>
      <c r="B138" s="18"/>
      <c r="C138" s="18">
        <f>+'MLBSS_Receita e Despesa'!K293</f>
        <v>0</v>
      </c>
      <c r="G138" s="15"/>
      <c r="H138" s="15"/>
    </row>
    <row r="139" spans="1:8" ht="20.25" customHeight="1">
      <c r="A139" s="268" t="s">
        <v>623</v>
      </c>
      <c r="B139" s="14" t="e">
        <f>+'MLBSS_Receita e Despesa'!#REF!</f>
        <v>#REF!</v>
      </c>
      <c r="C139" s="14">
        <f>+'MLBSS_Receita e Despesa'!K441</f>
        <v>0</v>
      </c>
      <c r="G139" s="15"/>
      <c r="H139" s="15"/>
    </row>
    <row r="140" spans="1:8" ht="18" customHeight="1">
      <c r="A140" s="287" t="s">
        <v>841</v>
      </c>
      <c r="B140" s="18" t="e">
        <f>+'MLBSS_Receita e Despesa'!#REF!</f>
        <v>#REF!</v>
      </c>
      <c r="C140" s="18"/>
      <c r="G140" s="15"/>
      <c r="H140" s="15"/>
    </row>
    <row r="141" spans="1:8" ht="18" customHeight="1">
      <c r="A141" s="279" t="s">
        <v>392</v>
      </c>
      <c r="B141" s="18" t="e">
        <f>+'MLBSS_Receita e Despesa'!#REF!</f>
        <v>#REF!</v>
      </c>
      <c r="C141" s="18">
        <f>+'MLBSS_Receita e Despesa'!K108</f>
        <v>4343170</v>
      </c>
      <c r="G141" s="15"/>
      <c r="H141" s="15"/>
    </row>
    <row r="142" spans="1:8" ht="18" customHeight="1">
      <c r="A142" s="279" t="s">
        <v>858</v>
      </c>
      <c r="B142" s="18" t="e">
        <f>+'MLBSS_Receita e Despesa'!#REF!</f>
        <v>#REF!</v>
      </c>
      <c r="C142" s="18">
        <f>+'MLBSS_Receita e Despesa'!K304</f>
        <v>154513</v>
      </c>
      <c r="G142" s="15"/>
      <c r="H142" s="15"/>
    </row>
    <row r="143" spans="1:8" ht="18" customHeight="1">
      <c r="A143" s="279"/>
      <c r="B143" s="18"/>
      <c r="C143" s="18"/>
      <c r="G143" s="15"/>
      <c r="H143" s="15"/>
    </row>
    <row r="144" spans="1:8" ht="24" customHeight="1" thickBot="1">
      <c r="A144" s="311" t="s">
        <v>380</v>
      </c>
      <c r="B144" s="312" t="e">
        <f>+B65+B105+B114+B125</f>
        <v>#REF!</v>
      </c>
      <c r="C144" s="312">
        <f>+C65+C105+C114+C125</f>
        <v>37307749522.91</v>
      </c>
      <c r="G144" s="15"/>
      <c r="H144" s="15"/>
    </row>
    <row r="145" spans="1:8" ht="14.25" thickBot="1" thickTop="1">
      <c r="A145" s="288"/>
      <c r="B145" s="20"/>
      <c r="C145" s="20"/>
      <c r="G145" s="15"/>
      <c r="H145" s="15"/>
    </row>
    <row r="146" spans="1:8" ht="21" customHeight="1" thickTop="1">
      <c r="A146" s="289"/>
      <c r="B146" s="290"/>
      <c r="C146" s="290"/>
      <c r="G146" s="15"/>
      <c r="H146" s="15"/>
    </row>
    <row r="147" spans="1:8" ht="24" customHeight="1">
      <c r="A147" s="291" t="s">
        <v>734</v>
      </c>
      <c r="B147" s="292" t="e">
        <f>B63-B23-B21-B20-B13-B24</f>
        <v>#REF!</v>
      </c>
      <c r="C147" s="292">
        <f>C63-C23-C21-C20-C13-C24</f>
        <v>23759262116</v>
      </c>
      <c r="G147" s="15"/>
      <c r="H147" s="15"/>
    </row>
    <row r="148" spans="1:8" ht="24" customHeight="1" thickBot="1">
      <c r="A148" s="291" t="s">
        <v>735</v>
      </c>
      <c r="B148" s="292" t="e">
        <f>B144-B111-B109-B112</f>
        <v>#REF!</v>
      </c>
      <c r="C148" s="292">
        <f>C144-C111-C109-C112</f>
        <v>23628234997.910004</v>
      </c>
      <c r="G148" s="15"/>
      <c r="H148" s="15"/>
    </row>
    <row r="149" spans="1:8" ht="24" customHeight="1" thickBot="1" thickTop="1">
      <c r="A149" s="293" t="s">
        <v>1119</v>
      </c>
      <c r="B149" s="294" t="e">
        <f>B147-B148</f>
        <v>#REF!</v>
      </c>
      <c r="C149" s="294">
        <f>C147-C148</f>
        <v>131027118.08999634</v>
      </c>
      <c r="G149" s="15"/>
      <c r="H149" s="15"/>
    </row>
    <row r="150" spans="1:8" ht="22.5" customHeight="1" thickBot="1" thickTop="1">
      <c r="A150" s="293" t="s">
        <v>1277</v>
      </c>
      <c r="B150" s="294" t="e">
        <f>+B149+B119-B39</f>
        <v>#REF!</v>
      </c>
      <c r="C150" s="294">
        <f>+C149+C119-C39</f>
        <v>153538955.08999634</v>
      </c>
      <c r="G150" s="15"/>
      <c r="H150" s="15"/>
    </row>
    <row r="151" spans="1:8" ht="22.5" customHeight="1" thickBot="1" thickTop="1">
      <c r="A151" s="295" t="s">
        <v>585</v>
      </c>
      <c r="B151" s="294" t="e">
        <f>+B63-B144</f>
        <v>#REF!</v>
      </c>
      <c r="C151" s="294">
        <f>+C63-C144</f>
        <v>1342359471.574997</v>
      </c>
      <c r="G151" s="15"/>
      <c r="H151" s="15"/>
    </row>
    <row r="152" spans="1:3" ht="20.25" customHeight="1" thickTop="1">
      <c r="A152" s="559"/>
      <c r="B152" s="256"/>
      <c r="C152" s="256"/>
    </row>
    <row r="153" spans="2:3" ht="12.75">
      <c r="B153" s="15"/>
      <c r="C153" s="15"/>
    </row>
    <row r="154" spans="2:3" ht="12.75">
      <c r="B154" s="15"/>
      <c r="C154" s="15"/>
    </row>
    <row r="155" spans="2:3" ht="12.75">
      <c r="B155" s="15"/>
      <c r="C155" s="15"/>
    </row>
    <row r="156" spans="2:3" ht="12.75">
      <c r="B156" s="15"/>
      <c r="C156" s="15"/>
    </row>
    <row r="157" spans="2:3" ht="12.75">
      <c r="B157" s="15"/>
      <c r="C157" s="15"/>
    </row>
    <row r="158" spans="2:3" ht="12.75">
      <c r="B158" s="15"/>
      <c r="C158" s="15"/>
    </row>
    <row r="159" spans="2:3" ht="12.75">
      <c r="B159" s="15"/>
      <c r="C159" s="15"/>
    </row>
    <row r="160" spans="2:3" ht="12.75">
      <c r="B160" s="15"/>
      <c r="C160" s="15"/>
    </row>
    <row r="161" spans="2:3" ht="12.75">
      <c r="B161" s="15"/>
      <c r="C161" s="15"/>
    </row>
    <row r="162" spans="2:3" ht="12.75">
      <c r="B162" s="15"/>
      <c r="C162" s="15"/>
    </row>
    <row r="163" spans="2:3" ht="12.75">
      <c r="B163" s="15"/>
      <c r="C163" s="15"/>
    </row>
    <row r="164" spans="2:3" ht="12.75">
      <c r="B164" s="15"/>
      <c r="C164" s="15"/>
    </row>
    <row r="165" spans="2:3" ht="12.75">
      <c r="B165" s="15"/>
      <c r="C165" s="15"/>
    </row>
    <row r="166" spans="2:3" ht="12.75">
      <c r="B166" s="15"/>
      <c r="C166" s="15"/>
    </row>
    <row r="167" spans="2:3" ht="12.75">
      <c r="B167" s="15"/>
      <c r="C167" s="15"/>
    </row>
    <row r="168" spans="2:3" ht="12.75">
      <c r="B168" s="15"/>
      <c r="C168" s="15"/>
    </row>
    <row r="169" spans="2:3" ht="12.75">
      <c r="B169" s="15"/>
      <c r="C169" s="15"/>
    </row>
    <row r="170" spans="2:3" ht="12.75">
      <c r="B170" s="15"/>
      <c r="C170" s="15"/>
    </row>
    <row r="171" spans="2:3" ht="12.75">
      <c r="B171" s="15"/>
      <c r="C171" s="15"/>
    </row>
    <row r="172" spans="2:3" ht="12.75">
      <c r="B172" s="15"/>
      <c r="C172" s="15"/>
    </row>
    <row r="173" spans="2:3" ht="12.75">
      <c r="B173" s="15"/>
      <c r="C173" s="15"/>
    </row>
    <row r="174" spans="2:3" ht="12.75">
      <c r="B174" s="15"/>
      <c r="C174" s="15"/>
    </row>
    <row r="175" spans="2:3" ht="12.75">
      <c r="B175" s="15"/>
      <c r="C175" s="15"/>
    </row>
    <row r="176" spans="2:3" ht="12.75">
      <c r="B176" s="15"/>
      <c r="C176" s="15"/>
    </row>
    <row r="177" spans="2:3" ht="12.75">
      <c r="B177" s="15"/>
      <c r="C177" s="15"/>
    </row>
    <row r="178" spans="2:3" ht="12.75">
      <c r="B178" s="15"/>
      <c r="C178" s="15"/>
    </row>
    <row r="179" spans="2:3" ht="12.75">
      <c r="B179" s="15"/>
      <c r="C179" s="15"/>
    </row>
    <row r="180" spans="2:3" ht="12.75">
      <c r="B180" s="15"/>
      <c r="C180" s="15"/>
    </row>
    <row r="181" spans="2:3" ht="12.75">
      <c r="B181" s="15"/>
      <c r="C181" s="15"/>
    </row>
    <row r="182" spans="2:3" ht="12.75">
      <c r="B182" s="15"/>
      <c r="C182" s="15"/>
    </row>
    <row r="183" spans="2:3" ht="12.75">
      <c r="B183" s="15"/>
      <c r="C183" s="15"/>
    </row>
    <row r="184" spans="2:3" ht="12.75">
      <c r="B184" s="15"/>
      <c r="C184" s="15"/>
    </row>
    <row r="185" spans="2:3" ht="12.75">
      <c r="B185" s="15"/>
      <c r="C185" s="15"/>
    </row>
    <row r="186" spans="2:3" ht="12.75">
      <c r="B186" s="15"/>
      <c r="C186" s="15"/>
    </row>
    <row r="187" spans="2:3" ht="12.75">
      <c r="B187" s="15"/>
      <c r="C187" s="15"/>
    </row>
    <row r="188" spans="2:3" ht="12.75">
      <c r="B188" s="15"/>
      <c r="C188" s="15"/>
    </row>
    <row r="189" spans="2:3" ht="12.75">
      <c r="B189" s="15"/>
      <c r="C189" s="15"/>
    </row>
    <row r="190" spans="2:3" ht="12.75">
      <c r="B190" s="15"/>
      <c r="C190" s="15"/>
    </row>
    <row r="191" spans="2:3" ht="12.75">
      <c r="B191" s="15"/>
      <c r="C191" s="15"/>
    </row>
    <row r="192" spans="2:3" ht="12.75">
      <c r="B192" s="15"/>
      <c r="C192" s="15"/>
    </row>
    <row r="193" spans="2:3" ht="12.75">
      <c r="B193" s="15"/>
      <c r="C193" s="15"/>
    </row>
    <row r="194" spans="2:3" ht="12.75">
      <c r="B194" s="15"/>
      <c r="C194" s="15"/>
    </row>
    <row r="195" spans="2:3" ht="12.75">
      <c r="B195" s="15"/>
      <c r="C195" s="15"/>
    </row>
    <row r="196" spans="2:3" ht="12.75">
      <c r="B196" s="15"/>
      <c r="C196" s="15"/>
    </row>
    <row r="197" spans="2:3" ht="12.75">
      <c r="B197" s="15"/>
      <c r="C197" s="15"/>
    </row>
    <row r="198" spans="2:3" ht="12.75">
      <c r="B198" s="15"/>
      <c r="C198" s="15"/>
    </row>
    <row r="199" spans="2:3" ht="12.75">
      <c r="B199" s="15"/>
      <c r="C199" s="15"/>
    </row>
    <row r="200" spans="2:3" ht="12.75">
      <c r="B200" s="15"/>
      <c r="C200" s="15"/>
    </row>
    <row r="201" spans="2:3" ht="12.75">
      <c r="B201" s="15"/>
      <c r="C201" s="15"/>
    </row>
    <row r="202" spans="2:3" ht="12.75">
      <c r="B202" s="15"/>
      <c r="C202" s="15"/>
    </row>
    <row r="203" spans="2:3" ht="12.75">
      <c r="B203" s="15"/>
      <c r="C203" s="15"/>
    </row>
    <row r="204" spans="2:3" ht="12.75">
      <c r="B204" s="15"/>
      <c r="C204" s="15"/>
    </row>
    <row r="205" spans="2:3" ht="12.75">
      <c r="B205" s="15"/>
      <c r="C205" s="15"/>
    </row>
    <row r="206" spans="2:3" ht="12.75">
      <c r="B206" s="15"/>
      <c r="C206" s="15"/>
    </row>
    <row r="207" spans="2:3" ht="12.75">
      <c r="B207" s="15"/>
      <c r="C207" s="15"/>
    </row>
    <row r="208" spans="2:3" ht="12.75">
      <c r="B208" s="15"/>
      <c r="C208" s="15"/>
    </row>
    <row r="209" spans="2:3" ht="12.75">
      <c r="B209" s="15"/>
      <c r="C209" s="15"/>
    </row>
    <row r="210" spans="2:3" ht="12.75">
      <c r="B210" s="15"/>
      <c r="C210" s="15"/>
    </row>
    <row r="211" spans="2:3" ht="12.75">
      <c r="B211" s="15"/>
      <c r="C211" s="15"/>
    </row>
    <row r="455" ht="12.75">
      <c r="D455" s="5">
        <f>1002585938-848342750</f>
        <v>154243188</v>
      </c>
    </row>
  </sheetData>
  <mergeCells count="1">
    <mergeCell ref="A6:A8"/>
  </mergeCells>
  <printOptions horizontalCentered="1" verticalCentered="1"/>
  <pageMargins left="0.75" right="0.75" top="0" bottom="0" header="0" footer="0"/>
  <pageSetup fitToHeight="2" horizontalDpi="300" verticalDpi="300" orientation="portrait" paperSize="8" scale="46" r:id="rId1"/>
  <headerFooter alignWithMargins="0">
    <oddHeader>&amp;R&amp;F</oddHeader>
    <oddFooter>&amp;L&amp;D&amp;T&amp;RPágina &amp;P de &amp;N</oddFooter>
  </headerFooter>
  <rowBreaks count="1" manualBreakCount="1">
    <brk id="6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showGridLines="0" zoomScale="65" zoomScaleNormal="65" workbookViewId="0" topLeftCell="A1">
      <selection activeCell="C286" sqref="C286"/>
    </sheetView>
  </sheetViews>
  <sheetFormatPr defaultColWidth="9.140625" defaultRowHeight="12.75"/>
  <cols>
    <col min="2" max="2" width="40.140625" style="0" customWidth="1"/>
    <col min="3" max="3" width="20.421875" style="0" bestFit="1" customWidth="1"/>
    <col min="4" max="4" width="24.140625" style="0" bestFit="1" customWidth="1"/>
    <col min="5" max="5" width="20.421875" style="0" bestFit="1" customWidth="1"/>
    <col min="6" max="7" width="25.57421875" style="0" bestFit="1" customWidth="1"/>
    <col min="8" max="8" width="2.421875" style="0" customWidth="1"/>
    <col min="9" max="9" width="14.00390625" style="0" customWidth="1"/>
    <col min="10" max="10" width="3.7109375" style="0" customWidth="1"/>
    <col min="11" max="11" width="21.7109375" style="0" bestFit="1" customWidth="1"/>
  </cols>
  <sheetData>
    <row r="1" ht="12.75">
      <c r="A1" t="s">
        <v>1574</v>
      </c>
    </row>
    <row r="3" spans="3:7" s="563" customFormat="1" ht="24" customHeight="1">
      <c r="C3" s="950" t="s">
        <v>1137</v>
      </c>
      <c r="D3" s="950"/>
      <c r="E3" s="950"/>
      <c r="F3" s="950" t="s">
        <v>983</v>
      </c>
      <c r="G3" s="950"/>
    </row>
    <row r="4" spans="3:11" s="563" customFormat="1" ht="48" customHeight="1">
      <c r="C4" s="573" t="s">
        <v>1575</v>
      </c>
      <c r="D4" s="573" t="s">
        <v>1584</v>
      </c>
      <c r="E4" s="573" t="s">
        <v>1576</v>
      </c>
      <c r="F4" s="573" t="s">
        <v>1101</v>
      </c>
      <c r="G4" s="573" t="s">
        <v>617</v>
      </c>
      <c r="I4" s="586" t="s">
        <v>1577</v>
      </c>
      <c r="K4" s="573" t="s">
        <v>1489</v>
      </c>
    </row>
    <row r="5" spans="1:11" ht="12.75">
      <c r="A5" s="198"/>
      <c r="B5" s="198"/>
      <c r="C5" s="31"/>
      <c r="D5" s="31"/>
      <c r="E5" s="31"/>
      <c r="F5" s="31"/>
      <c r="G5" s="31"/>
      <c r="H5" s="3"/>
      <c r="I5" s="587"/>
      <c r="J5" s="3"/>
      <c r="K5" s="4"/>
    </row>
    <row r="6" spans="1:11" ht="12.75">
      <c r="A6" s="574" t="s">
        <v>1244</v>
      </c>
      <c r="B6" s="575" t="s">
        <v>1580</v>
      </c>
      <c r="C6" s="31" t="e">
        <f>#REF!</f>
        <v>#REF!</v>
      </c>
      <c r="D6" s="31" t="e">
        <f>#REF!</f>
        <v>#REF!</v>
      </c>
      <c r="E6" s="31" t="e">
        <f>#REF!</f>
        <v>#REF!</v>
      </c>
      <c r="F6" s="31" t="e">
        <f>#REF!</f>
        <v>#REF!</v>
      </c>
      <c r="G6" s="31"/>
      <c r="H6" s="3"/>
      <c r="I6" s="588"/>
      <c r="J6" s="3"/>
      <c r="K6" s="31" t="e">
        <f aca="true" t="shared" si="0" ref="K6:K23">SUM(C6:I6)</f>
        <v>#REF!</v>
      </c>
    </row>
    <row r="7" spans="1:11" ht="12.75">
      <c r="A7" s="574">
        <v>1029</v>
      </c>
      <c r="B7" s="575" t="s">
        <v>178</v>
      </c>
      <c r="C7" s="31"/>
      <c r="D7" s="31"/>
      <c r="E7" s="31"/>
      <c r="F7" s="31"/>
      <c r="G7" s="31"/>
      <c r="H7" s="3"/>
      <c r="I7" s="588"/>
      <c r="J7" s="3"/>
      <c r="K7" s="31"/>
    </row>
    <row r="8" spans="1:11" ht="12.75">
      <c r="A8" s="574">
        <v>2001</v>
      </c>
      <c r="B8" s="575" t="s">
        <v>764</v>
      </c>
      <c r="C8" s="31" t="e">
        <f>#REF!</f>
        <v>#REF!</v>
      </c>
      <c r="D8" s="31" t="e">
        <f>#REF!</f>
        <v>#REF!</v>
      </c>
      <c r="E8" s="31" t="e">
        <f>#REF!</f>
        <v>#REF!</v>
      </c>
      <c r="F8" s="31" t="e">
        <f>#REF!</f>
        <v>#REF!</v>
      </c>
      <c r="G8" s="31"/>
      <c r="H8" s="3"/>
      <c r="I8" s="588"/>
      <c r="J8" s="3"/>
      <c r="K8" s="31" t="e">
        <f t="shared" si="0"/>
        <v>#REF!</v>
      </c>
    </row>
    <row r="9" spans="1:11" ht="12.75">
      <c r="A9" s="574">
        <v>3001</v>
      </c>
      <c r="B9" s="575" t="s">
        <v>238</v>
      </c>
      <c r="C9" s="31" t="e">
        <f>#REF!</f>
        <v>#REF!</v>
      </c>
      <c r="D9" s="31" t="e">
        <f>#REF!</f>
        <v>#REF!</v>
      </c>
      <c r="E9" s="31" t="e">
        <f>#REF!</f>
        <v>#REF!</v>
      </c>
      <c r="F9" s="31" t="e">
        <f>#REF!</f>
        <v>#REF!</v>
      </c>
      <c r="G9" s="31"/>
      <c r="H9" s="3"/>
      <c r="I9" s="588"/>
      <c r="J9" s="3"/>
      <c r="K9" s="31" t="e">
        <f t="shared" si="0"/>
        <v>#REF!</v>
      </c>
    </row>
    <row r="10" spans="1:11" ht="14.25" customHeight="1">
      <c r="A10" s="574">
        <v>3002</v>
      </c>
      <c r="B10" s="575" t="s">
        <v>379</v>
      </c>
      <c r="C10" s="26"/>
      <c r="D10" s="26"/>
      <c r="E10" s="26"/>
      <c r="F10" s="26"/>
      <c r="G10" s="26" t="e">
        <f>#REF!</f>
        <v>#REF!</v>
      </c>
      <c r="H10" s="3"/>
      <c r="I10" s="588"/>
      <c r="J10" s="3"/>
      <c r="K10" s="31" t="e">
        <f t="shared" si="0"/>
        <v>#REF!</v>
      </c>
    </row>
    <row r="11" spans="1:11" ht="12.75">
      <c r="A11" s="574">
        <v>3003</v>
      </c>
      <c r="B11" s="575" t="s">
        <v>1578</v>
      </c>
      <c r="C11" s="31" t="e">
        <f>#REF!</f>
        <v>#REF!</v>
      </c>
      <c r="D11" s="31" t="e">
        <f>#REF!</f>
        <v>#REF!</v>
      </c>
      <c r="E11" s="31" t="e">
        <f>#REF!</f>
        <v>#REF!</v>
      </c>
      <c r="F11" s="31" t="e">
        <f>#REF!</f>
        <v>#REF!</v>
      </c>
      <c r="G11" s="31"/>
      <c r="H11" s="3"/>
      <c r="I11" s="588"/>
      <c r="J11" s="3"/>
      <c r="K11" s="31" t="e">
        <f t="shared" si="0"/>
        <v>#REF!</v>
      </c>
    </row>
    <row r="12" spans="1:11" ht="12.75">
      <c r="A12" s="574">
        <v>3004</v>
      </c>
      <c r="B12" s="575" t="s">
        <v>1579</v>
      </c>
      <c r="C12" s="31" t="e">
        <f>#REF!</f>
        <v>#REF!</v>
      </c>
      <c r="D12" s="31" t="e">
        <f>#REF!</f>
        <v>#REF!</v>
      </c>
      <c r="E12" s="31" t="e">
        <f>#REF!</f>
        <v>#REF!</v>
      </c>
      <c r="F12" s="31" t="e">
        <f>#REF!</f>
        <v>#REF!</v>
      </c>
      <c r="G12" s="31"/>
      <c r="H12" s="3"/>
      <c r="I12" s="588"/>
      <c r="J12" s="3"/>
      <c r="K12" s="31" t="e">
        <f t="shared" si="0"/>
        <v>#REF!</v>
      </c>
    </row>
    <row r="13" spans="1:11" ht="12.75">
      <c r="A13" s="574">
        <v>3005</v>
      </c>
      <c r="B13" s="575" t="s">
        <v>1561</v>
      </c>
      <c r="C13" s="31" t="e">
        <f>#REF!</f>
        <v>#REF!</v>
      </c>
      <c r="D13" s="31" t="e">
        <f>#REF!</f>
        <v>#REF!</v>
      </c>
      <c r="E13" s="31" t="e">
        <f>#REF!</f>
        <v>#REF!</v>
      </c>
      <c r="F13" s="31" t="e">
        <f>#REF!</f>
        <v>#REF!</v>
      </c>
      <c r="G13" s="31"/>
      <c r="H13" s="3"/>
      <c r="I13" s="588"/>
      <c r="J13" s="3"/>
      <c r="K13" s="31" t="e">
        <f t="shared" si="0"/>
        <v>#REF!</v>
      </c>
    </row>
    <row r="14" spans="1:11" ht="12.75">
      <c r="A14" s="574">
        <v>3006</v>
      </c>
      <c r="B14" s="575" t="s">
        <v>381</v>
      </c>
      <c r="C14" s="31" t="e">
        <f>#REF!</f>
        <v>#REF!</v>
      </c>
      <c r="D14" s="31" t="e">
        <f>#REF!</f>
        <v>#REF!</v>
      </c>
      <c r="E14" s="31" t="e">
        <f>#REF!</f>
        <v>#REF!</v>
      </c>
      <c r="F14" s="31" t="e">
        <f>#REF!</f>
        <v>#REF!</v>
      </c>
      <c r="G14" s="31"/>
      <c r="H14" s="3"/>
      <c r="I14" s="588"/>
      <c r="J14" s="3"/>
      <c r="K14" s="31" t="e">
        <f t="shared" si="0"/>
        <v>#REF!</v>
      </c>
    </row>
    <row r="15" spans="1:11" ht="12.75">
      <c r="A15" s="574">
        <v>3007</v>
      </c>
      <c r="B15" s="575" t="s">
        <v>328</v>
      </c>
      <c r="C15" s="31" t="e">
        <f>#REF!</f>
        <v>#REF!</v>
      </c>
      <c r="D15" s="31" t="e">
        <f>#REF!</f>
        <v>#REF!</v>
      </c>
      <c r="E15" s="31" t="e">
        <f>#REF!</f>
        <v>#REF!</v>
      </c>
      <c r="F15" s="31" t="e">
        <f>#REF!</f>
        <v>#REF!</v>
      </c>
      <c r="G15" s="31"/>
      <c r="H15" s="3"/>
      <c r="I15" s="588"/>
      <c r="J15" s="3"/>
      <c r="K15" s="31" t="e">
        <f t="shared" si="0"/>
        <v>#REF!</v>
      </c>
    </row>
    <row r="16" spans="1:11" ht="12.75">
      <c r="A16" s="574">
        <v>3008</v>
      </c>
      <c r="B16" s="575" t="s">
        <v>329</v>
      </c>
      <c r="C16" s="31" t="e">
        <f>#REF!</f>
        <v>#REF!</v>
      </c>
      <c r="D16" s="31" t="e">
        <f>#REF!</f>
        <v>#REF!</v>
      </c>
      <c r="E16" s="31" t="e">
        <f>#REF!</f>
        <v>#REF!</v>
      </c>
      <c r="F16" s="31" t="e">
        <f>#REF!</f>
        <v>#REF!</v>
      </c>
      <c r="G16" s="31"/>
      <c r="H16" s="3"/>
      <c r="I16" s="588"/>
      <c r="J16" s="3"/>
      <c r="K16" s="31" t="e">
        <f t="shared" si="0"/>
        <v>#REF!</v>
      </c>
    </row>
    <row r="17" spans="1:11" ht="12.75">
      <c r="A17" s="574">
        <v>3009</v>
      </c>
      <c r="B17" s="575" t="s">
        <v>330</v>
      </c>
      <c r="C17" s="31" t="e">
        <f>#REF!</f>
        <v>#REF!</v>
      </c>
      <c r="D17" s="31" t="e">
        <f>#REF!</f>
        <v>#REF!</v>
      </c>
      <c r="E17" s="31" t="e">
        <f>#REF!</f>
        <v>#REF!</v>
      </c>
      <c r="F17" s="31" t="e">
        <f>#REF!</f>
        <v>#REF!</v>
      </c>
      <c r="G17" s="31"/>
      <c r="H17" s="3"/>
      <c r="I17" s="588"/>
      <c r="J17" s="3"/>
      <c r="K17" s="31" t="e">
        <f t="shared" si="0"/>
        <v>#REF!</v>
      </c>
    </row>
    <row r="18" spans="1:11" ht="12.75">
      <c r="A18" s="574">
        <v>3010</v>
      </c>
      <c r="B18" s="575" t="s">
        <v>331</v>
      </c>
      <c r="C18" s="31" t="e">
        <f>#REF!</f>
        <v>#REF!</v>
      </c>
      <c r="D18" s="31" t="e">
        <f>#REF!</f>
        <v>#REF!</v>
      </c>
      <c r="E18" s="31" t="e">
        <f>#REF!</f>
        <v>#REF!</v>
      </c>
      <c r="F18" s="31" t="e">
        <f>#REF!</f>
        <v>#REF!</v>
      </c>
      <c r="G18" s="31"/>
      <c r="H18" s="3"/>
      <c r="I18" s="588"/>
      <c r="J18" s="3"/>
      <c r="K18" s="31" t="e">
        <f t="shared" si="0"/>
        <v>#REF!</v>
      </c>
    </row>
    <row r="19" spans="1:11" ht="12.75">
      <c r="A19" s="574">
        <v>3011</v>
      </c>
      <c r="B19" s="575" t="s">
        <v>1397</v>
      </c>
      <c r="C19" s="31" t="e">
        <f>#REF!</f>
        <v>#REF!</v>
      </c>
      <c r="D19" s="31" t="e">
        <f>#REF!</f>
        <v>#REF!</v>
      </c>
      <c r="E19" s="31" t="e">
        <f>#REF!</f>
        <v>#REF!</v>
      </c>
      <c r="F19" s="31" t="e">
        <f>#REF!</f>
        <v>#REF!</v>
      </c>
      <c r="G19" s="31"/>
      <c r="H19" s="3"/>
      <c r="I19" s="588"/>
      <c r="J19" s="3"/>
      <c r="K19" s="31" t="e">
        <f t="shared" si="0"/>
        <v>#REF!</v>
      </c>
    </row>
    <row r="20" spans="1:11" ht="12.75">
      <c r="A20" s="574">
        <v>3012</v>
      </c>
      <c r="B20" s="575" t="s">
        <v>332</v>
      </c>
      <c r="C20" s="31" t="e">
        <f>#REF!</f>
        <v>#REF!</v>
      </c>
      <c r="D20" s="31" t="e">
        <f>#REF!</f>
        <v>#REF!</v>
      </c>
      <c r="E20" s="31" t="e">
        <f>#REF!</f>
        <v>#REF!</v>
      </c>
      <c r="F20" s="31" t="e">
        <f>#REF!</f>
        <v>#REF!</v>
      </c>
      <c r="G20" s="31"/>
      <c r="H20" s="3"/>
      <c r="I20" s="588"/>
      <c r="J20" s="3"/>
      <c r="K20" s="31" t="e">
        <f t="shared" si="0"/>
        <v>#REF!</v>
      </c>
    </row>
    <row r="21" spans="1:11" ht="12.75">
      <c r="A21" s="574">
        <v>3013</v>
      </c>
      <c r="B21" s="575" t="s">
        <v>1395</v>
      </c>
      <c r="C21" s="31" t="e">
        <f>#REF!</f>
        <v>#REF!</v>
      </c>
      <c r="D21" s="31" t="e">
        <f>#REF!</f>
        <v>#REF!</v>
      </c>
      <c r="E21" s="31" t="e">
        <f>#REF!</f>
        <v>#REF!</v>
      </c>
      <c r="F21" s="31" t="e">
        <f>#REF!</f>
        <v>#REF!</v>
      </c>
      <c r="G21" s="31"/>
      <c r="H21" s="3"/>
      <c r="I21" s="588"/>
      <c r="J21" s="3"/>
      <c r="K21" s="31" t="e">
        <f t="shared" si="0"/>
        <v>#REF!</v>
      </c>
    </row>
    <row r="22" spans="1:11" ht="12.75">
      <c r="A22" s="574">
        <v>3014</v>
      </c>
      <c r="B22" s="575" t="s">
        <v>342</v>
      </c>
      <c r="C22" s="31" t="e">
        <f>#REF!</f>
        <v>#REF!</v>
      </c>
      <c r="D22" s="31" t="e">
        <f>#REF!</f>
        <v>#REF!</v>
      </c>
      <c r="E22" s="31" t="e">
        <f>#REF!</f>
        <v>#REF!</v>
      </c>
      <c r="F22" s="31" t="e">
        <f>#REF!</f>
        <v>#REF!</v>
      </c>
      <c r="G22" s="31"/>
      <c r="H22" s="3"/>
      <c r="I22" s="588"/>
      <c r="J22" s="3"/>
      <c r="K22" s="31" t="e">
        <f t="shared" si="0"/>
        <v>#REF!</v>
      </c>
    </row>
    <row r="23" spans="1:11" ht="12.75">
      <c r="A23" s="576">
        <v>4000</v>
      </c>
      <c r="B23" s="577" t="s">
        <v>1396</v>
      </c>
      <c r="C23" s="204" t="e">
        <f>#REF!</f>
        <v>#REF!</v>
      </c>
      <c r="D23" s="204" t="e">
        <f>#REF!</f>
        <v>#REF!</v>
      </c>
      <c r="E23" s="204" t="e">
        <f>#REF!</f>
        <v>#REF!</v>
      </c>
      <c r="F23" s="204" t="e">
        <f>#REF!</f>
        <v>#REF!</v>
      </c>
      <c r="G23" s="204"/>
      <c r="H23" s="3"/>
      <c r="I23" s="589"/>
      <c r="J23" s="3"/>
      <c r="K23" s="204" t="e">
        <f t="shared" si="0"/>
        <v>#REF!</v>
      </c>
    </row>
    <row r="24" spans="3:11" ht="12.75">
      <c r="C24" s="3"/>
      <c r="D24" s="3"/>
      <c r="E24" s="3"/>
      <c r="F24" s="3"/>
      <c r="G24" s="3"/>
      <c r="H24" s="3"/>
      <c r="I24" s="578"/>
      <c r="J24" s="3"/>
      <c r="K24" s="3"/>
    </row>
    <row r="25" spans="3:11" ht="12.75">
      <c r="C25" s="3"/>
      <c r="D25" s="3"/>
      <c r="E25" s="3"/>
      <c r="F25" s="3"/>
      <c r="G25" s="3"/>
      <c r="H25" s="3"/>
      <c r="I25" s="578"/>
      <c r="J25" s="3"/>
      <c r="K25" s="3"/>
    </row>
    <row r="26" spans="3:11" ht="12.75">
      <c r="C26" s="3"/>
      <c r="D26" s="3"/>
      <c r="E26" s="3"/>
      <c r="F26" s="3"/>
      <c r="G26" s="3"/>
      <c r="H26" s="3"/>
      <c r="I26" s="578"/>
      <c r="J26" s="3"/>
      <c r="K26" s="3"/>
    </row>
    <row r="27" spans="2:11" ht="12.75">
      <c r="B27" s="564" t="s">
        <v>1577</v>
      </c>
      <c r="C27" s="566"/>
      <c r="D27" s="566"/>
      <c r="E27" s="566"/>
      <c r="F27" s="566"/>
      <c r="G27" s="566"/>
      <c r="H27" s="570"/>
      <c r="I27" s="580"/>
      <c r="J27" s="570"/>
      <c r="K27" s="566"/>
    </row>
    <row r="28" spans="2:11" ht="12.75">
      <c r="B28" s="564"/>
      <c r="C28" s="566"/>
      <c r="D28" s="566"/>
      <c r="E28" s="566"/>
      <c r="F28" s="566"/>
      <c r="G28" s="566"/>
      <c r="H28" s="570"/>
      <c r="I28" s="580"/>
      <c r="J28" s="570"/>
      <c r="K28" s="566"/>
    </row>
    <row r="29" spans="2:11" ht="12.75">
      <c r="B29" s="564" t="s">
        <v>1224</v>
      </c>
      <c r="C29" s="568">
        <f>+'MLBSS_Receita e Despesa'!D15</f>
        <v>0</v>
      </c>
      <c r="D29" s="568">
        <f>+'MLBSS_Receita e Despesa'!D140</f>
        <v>0</v>
      </c>
      <c r="E29" s="568">
        <f>+'MLBSS_Receita e Despesa'!D240</f>
        <v>124050712.71</v>
      </c>
      <c r="F29" s="568">
        <f>+'MLBSS_Receita e Despesa'!D350</f>
        <v>1445238541.115</v>
      </c>
      <c r="G29" s="568">
        <f>+'MLBSS_Receita e Despesa'!D473</f>
        <v>530338632.66</v>
      </c>
      <c r="H29" s="570"/>
      <c r="I29" s="580"/>
      <c r="J29" s="570"/>
      <c r="K29" s="566"/>
    </row>
    <row r="30" spans="2:11" ht="12.75">
      <c r="B30" s="565"/>
      <c r="C30" s="567"/>
      <c r="D30" s="567"/>
      <c r="E30" s="567"/>
      <c r="F30" s="567"/>
      <c r="G30" s="567"/>
      <c r="H30" s="571"/>
      <c r="I30" s="582"/>
      <c r="J30" s="571"/>
      <c r="K30" s="567"/>
    </row>
    <row r="31" spans="2:11" ht="12.75">
      <c r="B31" s="564" t="s">
        <v>1581</v>
      </c>
      <c r="C31" s="568" t="e">
        <f aca="true" t="shared" si="1" ref="C31:I31">SUM(C5:C30)</f>
        <v>#REF!</v>
      </c>
      <c r="D31" s="568" t="e">
        <f t="shared" si="1"/>
        <v>#REF!</v>
      </c>
      <c r="E31" s="568" t="e">
        <f t="shared" si="1"/>
        <v>#REF!</v>
      </c>
      <c r="F31" s="568" t="e">
        <f t="shared" si="1"/>
        <v>#REF!</v>
      </c>
      <c r="G31" s="568" t="e">
        <f t="shared" si="1"/>
        <v>#REF!</v>
      </c>
      <c r="H31" s="572">
        <f t="shared" si="1"/>
        <v>0</v>
      </c>
      <c r="I31" s="583">
        <f t="shared" si="1"/>
        <v>0</v>
      </c>
      <c r="J31" s="572"/>
      <c r="K31" s="568" t="e">
        <f>SUM(K5:K30)</f>
        <v>#REF!</v>
      </c>
    </row>
    <row r="32" spans="2:11" ht="12.75">
      <c r="B32" s="203"/>
      <c r="C32" s="569"/>
      <c r="D32" s="569"/>
      <c r="E32" s="569"/>
      <c r="F32" s="569"/>
      <c r="G32" s="569"/>
      <c r="H32" s="569"/>
      <c r="I32" s="590"/>
      <c r="J32" s="569"/>
      <c r="K32" s="569"/>
    </row>
    <row r="33" spans="2:11" ht="12.75">
      <c r="B33" s="364" t="s">
        <v>1582</v>
      </c>
      <c r="C33" s="584"/>
      <c r="D33" s="584"/>
      <c r="E33" s="585"/>
      <c r="F33" s="568" t="e">
        <f>+'MLBSS_Receita e Despesa'!#REF!</f>
        <v>#REF!</v>
      </c>
      <c r="G33" s="568">
        <f>+'MLBSS_Receita e Despesa'!D488</f>
        <v>297029793.31</v>
      </c>
      <c r="H33" s="570"/>
      <c r="I33" s="580"/>
      <c r="J33" s="570"/>
      <c r="K33" s="566"/>
    </row>
    <row r="34" spans="2:11" ht="12.75">
      <c r="B34" s="203"/>
      <c r="C34" s="569"/>
      <c r="D34" s="569"/>
      <c r="E34" s="569"/>
      <c r="F34" s="569"/>
      <c r="G34" s="569"/>
      <c r="H34" s="569"/>
      <c r="I34" s="590"/>
      <c r="J34" s="569"/>
      <c r="K34" s="569"/>
    </row>
    <row r="35" spans="2:11" ht="12.75">
      <c r="B35" s="564" t="s">
        <v>920</v>
      </c>
      <c r="C35" s="568" t="e">
        <f aca="true" t="shared" si="2" ref="C35:I35">+C31+C33</f>
        <v>#REF!</v>
      </c>
      <c r="D35" s="568" t="e">
        <f t="shared" si="2"/>
        <v>#REF!</v>
      </c>
      <c r="E35" s="568" t="e">
        <f t="shared" si="2"/>
        <v>#REF!</v>
      </c>
      <c r="F35" s="568" t="e">
        <f t="shared" si="2"/>
        <v>#REF!</v>
      </c>
      <c r="G35" s="568" t="e">
        <f t="shared" si="2"/>
        <v>#REF!</v>
      </c>
      <c r="H35" s="572">
        <f t="shared" si="2"/>
        <v>0</v>
      </c>
      <c r="I35" s="568">
        <f t="shared" si="2"/>
        <v>0</v>
      </c>
      <c r="J35" s="572"/>
      <c r="K35" s="568" t="e">
        <f>+K31+K33</f>
        <v>#REF!</v>
      </c>
    </row>
  </sheetData>
  <mergeCells count="2">
    <mergeCell ref="C3:E3"/>
    <mergeCell ref="F3:G3"/>
  </mergeCells>
  <hyperlinks>
    <hyperlink ref="A6" location="'1001-8888'!A1" display="1001-8888"/>
    <hyperlink ref="A8" location="'2001'!A1" display="'2001'!A1"/>
    <hyperlink ref="A9" location="'3001'!A1" display="'3001'!A1"/>
    <hyperlink ref="A10" location="'3002'!A1" display="'3002'!A1"/>
    <hyperlink ref="A11" location="'3003'!A1" display="'3003'!A1"/>
    <hyperlink ref="A12" location="'3004'!A1" display="'3004'!A1"/>
    <hyperlink ref="A13" location="'3005'!A1" display="'3005'!A1"/>
    <hyperlink ref="A14" location="'3006'!A1" display="'3006'!A1"/>
    <hyperlink ref="A15" location="'3007'!A1" display="'3007'!A1"/>
    <hyperlink ref="A16" location="'3008'!A1" display="'3008'!A1"/>
    <hyperlink ref="A17" location="'3009'!A1" display="'3009'!A1"/>
    <hyperlink ref="A18" location="'3010'!A1" display="'3010'!A1"/>
    <hyperlink ref="A19" location="'3011'!A1" display="'3011'!A1"/>
    <hyperlink ref="A20" location="'3012'!A1" display="'3012'!A1"/>
    <hyperlink ref="A21" location="'3013'!A1" display="'3013'!A1"/>
    <hyperlink ref="A22" location="'3014'!A1" display="'3014'!A1"/>
    <hyperlink ref="A23" location="'4000'!A1" display="'4000'!A1"/>
    <hyperlink ref="A7" location="'1029'!A1" display="'1029'!A1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="65" zoomScaleNormal="65" workbookViewId="0" topLeftCell="A1">
      <selection activeCell="C286" sqref="C286"/>
    </sheetView>
  </sheetViews>
  <sheetFormatPr defaultColWidth="9.140625" defaultRowHeight="12.75"/>
  <cols>
    <col min="2" max="2" width="40.140625" style="0" customWidth="1"/>
    <col min="3" max="3" width="20.8515625" style="0" bestFit="1" customWidth="1"/>
    <col min="4" max="4" width="24.140625" style="0" bestFit="1" customWidth="1"/>
    <col min="5" max="5" width="20.421875" style="0" bestFit="1" customWidth="1"/>
    <col min="6" max="7" width="25.57421875" style="0" bestFit="1" customWidth="1"/>
    <col min="8" max="8" width="2.421875" style="0" customWidth="1"/>
    <col min="9" max="9" width="15.7109375" style="0" customWidth="1"/>
    <col min="10" max="10" width="3.7109375" style="0" customWidth="1"/>
    <col min="11" max="11" width="19.8515625" style="0" bestFit="1" customWidth="1"/>
  </cols>
  <sheetData>
    <row r="1" ht="12.75">
      <c r="A1" t="s">
        <v>1583</v>
      </c>
    </row>
    <row r="3" spans="3:7" s="563" customFormat="1" ht="24" customHeight="1">
      <c r="C3" s="950" t="s">
        <v>1137</v>
      </c>
      <c r="D3" s="950"/>
      <c r="E3" s="950"/>
      <c r="F3" s="950" t="s">
        <v>983</v>
      </c>
      <c r="G3" s="950"/>
    </row>
    <row r="4" spans="3:11" s="563" customFormat="1" ht="48" customHeight="1">
      <c r="C4" s="573" t="s">
        <v>1575</v>
      </c>
      <c r="D4" s="573" t="s">
        <v>1584</v>
      </c>
      <c r="E4" s="573" t="s">
        <v>1576</v>
      </c>
      <c r="F4" s="573" t="s">
        <v>1101</v>
      </c>
      <c r="G4" s="573" t="s">
        <v>617</v>
      </c>
      <c r="I4" s="573" t="s">
        <v>949</v>
      </c>
      <c r="K4" s="573" t="s">
        <v>1489</v>
      </c>
    </row>
    <row r="5" spans="1:11" ht="12.75">
      <c r="A5" s="198"/>
      <c r="B5" s="198"/>
      <c r="C5" s="31"/>
      <c r="D5" s="31"/>
      <c r="E5" s="31"/>
      <c r="F5" s="31"/>
      <c r="G5" s="31"/>
      <c r="H5" s="3"/>
      <c r="I5" s="587"/>
      <c r="J5" s="3"/>
      <c r="K5" s="4"/>
    </row>
    <row r="6" spans="1:11" ht="12.75">
      <c r="A6" s="574" t="s">
        <v>1244</v>
      </c>
      <c r="B6" s="575" t="s">
        <v>1580</v>
      </c>
      <c r="C6" s="31" t="e">
        <f>#REF!</f>
        <v>#REF!</v>
      </c>
      <c r="D6" s="31" t="e">
        <f>#REF!</f>
        <v>#REF!</v>
      </c>
      <c r="E6" s="31" t="e">
        <f>#REF!</f>
        <v>#REF!</v>
      </c>
      <c r="F6" s="31" t="e">
        <f>#REF!</f>
        <v>#REF!</v>
      </c>
      <c r="G6" s="31"/>
      <c r="H6" s="3"/>
      <c r="I6" s="588"/>
      <c r="J6" s="3"/>
      <c r="K6" s="31" t="e">
        <f>SUM(C6:I6)</f>
        <v>#REF!</v>
      </c>
    </row>
    <row r="7" spans="1:11" ht="12.75">
      <c r="A7" s="574">
        <v>1029</v>
      </c>
      <c r="B7" s="575" t="s">
        <v>178</v>
      </c>
      <c r="C7" s="31"/>
      <c r="D7" s="31"/>
      <c r="E7" s="31"/>
      <c r="F7" s="31"/>
      <c r="G7" s="31"/>
      <c r="H7" s="3"/>
      <c r="I7" s="588"/>
      <c r="J7" s="3"/>
      <c r="K7" s="31"/>
    </row>
    <row r="8" spans="1:11" ht="12.75">
      <c r="A8" s="574">
        <v>2001</v>
      </c>
      <c r="B8" s="575" t="s">
        <v>764</v>
      </c>
      <c r="C8" s="31" t="e">
        <f>#REF!</f>
        <v>#REF!</v>
      </c>
      <c r="D8" s="31" t="e">
        <f>#REF!</f>
        <v>#REF!</v>
      </c>
      <c r="E8" s="31" t="e">
        <f>#REF!</f>
        <v>#REF!</v>
      </c>
      <c r="F8" s="31" t="e">
        <f>#REF!</f>
        <v>#REF!</v>
      </c>
      <c r="G8" s="31"/>
      <c r="H8" s="3"/>
      <c r="I8" s="588"/>
      <c r="J8" s="3"/>
      <c r="K8" s="31" t="e">
        <f aca="true" t="shared" si="0" ref="K8:K23">SUM(C8:I8)</f>
        <v>#REF!</v>
      </c>
    </row>
    <row r="9" spans="1:11" ht="12.75">
      <c r="A9" s="574">
        <v>3001</v>
      </c>
      <c r="B9" s="575" t="s">
        <v>238</v>
      </c>
      <c r="C9" s="31" t="e">
        <f>#REF!</f>
        <v>#REF!</v>
      </c>
      <c r="D9" s="31" t="e">
        <f>#REF!</f>
        <v>#REF!</v>
      </c>
      <c r="E9" s="31" t="e">
        <f>#REF!</f>
        <v>#REF!</v>
      </c>
      <c r="F9" s="31" t="e">
        <f>#REF!</f>
        <v>#REF!</v>
      </c>
      <c r="G9" s="31"/>
      <c r="H9" s="3"/>
      <c r="I9" s="588"/>
      <c r="J9" s="3"/>
      <c r="K9" s="31" t="e">
        <f t="shared" si="0"/>
        <v>#REF!</v>
      </c>
    </row>
    <row r="10" spans="1:11" ht="14.25" customHeight="1">
      <c r="A10" s="574">
        <v>3002</v>
      </c>
      <c r="B10" s="575" t="s">
        <v>379</v>
      </c>
      <c r="C10" s="26"/>
      <c r="D10" s="26"/>
      <c r="E10" s="26"/>
      <c r="F10" s="26"/>
      <c r="G10" s="26" t="e">
        <f>#REF!</f>
        <v>#REF!</v>
      </c>
      <c r="H10" s="3"/>
      <c r="I10" s="588"/>
      <c r="J10" s="3"/>
      <c r="K10" s="31" t="e">
        <f t="shared" si="0"/>
        <v>#REF!</v>
      </c>
    </row>
    <row r="11" spans="1:11" ht="12.75">
      <c r="A11" s="574">
        <v>3003</v>
      </c>
      <c r="B11" s="575" t="s">
        <v>1578</v>
      </c>
      <c r="C11" s="31" t="e">
        <f>#REF!</f>
        <v>#REF!</v>
      </c>
      <c r="D11" s="31" t="e">
        <f>#REF!</f>
        <v>#REF!</v>
      </c>
      <c r="E11" s="31" t="e">
        <f>#REF!</f>
        <v>#REF!</v>
      </c>
      <c r="F11" s="31" t="e">
        <f>#REF!</f>
        <v>#REF!</v>
      </c>
      <c r="G11" s="31"/>
      <c r="H11" s="3"/>
      <c r="I11" s="588"/>
      <c r="J11" s="3"/>
      <c r="K11" s="31" t="e">
        <f t="shared" si="0"/>
        <v>#REF!</v>
      </c>
    </row>
    <row r="12" spans="1:11" ht="12.75">
      <c r="A12" s="574">
        <v>3004</v>
      </c>
      <c r="B12" s="575" t="s">
        <v>1579</v>
      </c>
      <c r="C12" s="31" t="e">
        <f>#REF!</f>
        <v>#REF!</v>
      </c>
      <c r="D12" s="31" t="e">
        <f>#REF!</f>
        <v>#REF!</v>
      </c>
      <c r="E12" s="31" t="e">
        <f>#REF!</f>
        <v>#REF!</v>
      </c>
      <c r="F12" s="31" t="e">
        <f>#REF!</f>
        <v>#REF!</v>
      </c>
      <c r="G12" s="31"/>
      <c r="H12" s="3"/>
      <c r="I12" s="588"/>
      <c r="J12" s="3"/>
      <c r="K12" s="31" t="e">
        <f t="shared" si="0"/>
        <v>#REF!</v>
      </c>
    </row>
    <row r="13" spans="1:11" ht="12.75">
      <c r="A13" s="574">
        <v>3005</v>
      </c>
      <c r="B13" s="575" t="s">
        <v>1561</v>
      </c>
      <c r="C13" s="31" t="e">
        <f>#REF!</f>
        <v>#REF!</v>
      </c>
      <c r="D13" s="31" t="e">
        <f>#REF!</f>
        <v>#REF!</v>
      </c>
      <c r="E13" s="31" t="e">
        <f>#REF!</f>
        <v>#REF!</v>
      </c>
      <c r="F13" s="31" t="e">
        <f>#REF!</f>
        <v>#REF!</v>
      </c>
      <c r="G13" s="31"/>
      <c r="H13" s="3"/>
      <c r="I13" s="588"/>
      <c r="J13" s="3"/>
      <c r="K13" s="31" t="e">
        <f t="shared" si="0"/>
        <v>#REF!</v>
      </c>
    </row>
    <row r="14" spans="1:11" ht="12.75">
      <c r="A14" s="574">
        <v>3006</v>
      </c>
      <c r="B14" s="575" t="s">
        <v>381</v>
      </c>
      <c r="C14" s="31" t="e">
        <f>#REF!</f>
        <v>#REF!</v>
      </c>
      <c r="D14" s="31" t="e">
        <f>#REF!</f>
        <v>#REF!</v>
      </c>
      <c r="E14" s="31" t="e">
        <f>#REF!</f>
        <v>#REF!</v>
      </c>
      <c r="F14" s="31" t="e">
        <f>#REF!</f>
        <v>#REF!</v>
      </c>
      <c r="G14" s="31"/>
      <c r="H14" s="3"/>
      <c r="I14" s="588"/>
      <c r="J14" s="3"/>
      <c r="K14" s="31" t="e">
        <f t="shared" si="0"/>
        <v>#REF!</v>
      </c>
    </row>
    <row r="15" spans="1:11" ht="12.75">
      <c r="A15" s="574">
        <v>3007</v>
      </c>
      <c r="B15" s="575" t="s">
        <v>328</v>
      </c>
      <c r="C15" s="31" t="e">
        <f>#REF!</f>
        <v>#REF!</v>
      </c>
      <c r="D15" s="31" t="e">
        <f>#REF!</f>
        <v>#REF!</v>
      </c>
      <c r="E15" s="31" t="e">
        <f>#REF!</f>
        <v>#REF!</v>
      </c>
      <c r="F15" s="31" t="e">
        <f>#REF!</f>
        <v>#REF!</v>
      </c>
      <c r="G15" s="31"/>
      <c r="H15" s="3"/>
      <c r="I15" s="588"/>
      <c r="J15" s="3"/>
      <c r="K15" s="31" t="e">
        <f t="shared" si="0"/>
        <v>#REF!</v>
      </c>
    </row>
    <row r="16" spans="1:11" ht="12.75">
      <c r="A16" s="574">
        <v>3008</v>
      </c>
      <c r="B16" s="575" t="s">
        <v>329</v>
      </c>
      <c r="C16" s="31" t="e">
        <f>#REF!</f>
        <v>#REF!</v>
      </c>
      <c r="D16" s="31" t="e">
        <f>#REF!</f>
        <v>#REF!</v>
      </c>
      <c r="E16" s="31" t="e">
        <f>#REF!</f>
        <v>#REF!</v>
      </c>
      <c r="F16" s="31" t="e">
        <f>#REF!</f>
        <v>#REF!</v>
      </c>
      <c r="G16" s="31"/>
      <c r="H16" s="3"/>
      <c r="I16" s="588"/>
      <c r="J16" s="3"/>
      <c r="K16" s="31" t="e">
        <f t="shared" si="0"/>
        <v>#REF!</v>
      </c>
    </row>
    <row r="17" spans="1:11" ht="12.75">
      <c r="A17" s="574">
        <v>3009</v>
      </c>
      <c r="B17" s="575" t="s">
        <v>330</v>
      </c>
      <c r="C17" s="31" t="e">
        <f>#REF!</f>
        <v>#REF!</v>
      </c>
      <c r="D17" s="31" t="e">
        <f>#REF!</f>
        <v>#REF!</v>
      </c>
      <c r="E17" s="31" t="e">
        <f>#REF!</f>
        <v>#REF!</v>
      </c>
      <c r="F17" s="31" t="e">
        <f>#REF!</f>
        <v>#REF!</v>
      </c>
      <c r="G17" s="31"/>
      <c r="H17" s="3"/>
      <c r="I17" s="588"/>
      <c r="J17" s="3"/>
      <c r="K17" s="31" t="e">
        <f t="shared" si="0"/>
        <v>#REF!</v>
      </c>
    </row>
    <row r="18" spans="1:11" ht="12.75">
      <c r="A18" s="574">
        <v>3010</v>
      </c>
      <c r="B18" s="575" t="s">
        <v>331</v>
      </c>
      <c r="C18" s="31" t="e">
        <f>#REF!</f>
        <v>#REF!</v>
      </c>
      <c r="D18" s="31" t="e">
        <f>#REF!</f>
        <v>#REF!</v>
      </c>
      <c r="E18" s="31" t="e">
        <f>#REF!</f>
        <v>#REF!</v>
      </c>
      <c r="F18" s="31" t="e">
        <f>#REF!</f>
        <v>#REF!</v>
      </c>
      <c r="G18" s="31"/>
      <c r="H18" s="3"/>
      <c r="I18" s="588"/>
      <c r="J18" s="3"/>
      <c r="K18" s="31" t="e">
        <f t="shared" si="0"/>
        <v>#REF!</v>
      </c>
    </row>
    <row r="19" spans="1:11" ht="12.75">
      <c r="A19" s="574">
        <v>3011</v>
      </c>
      <c r="B19" s="575" t="s">
        <v>1397</v>
      </c>
      <c r="C19" s="31" t="e">
        <f>#REF!</f>
        <v>#REF!</v>
      </c>
      <c r="D19" s="31" t="e">
        <f>#REF!</f>
        <v>#REF!</v>
      </c>
      <c r="E19" s="31" t="e">
        <f>#REF!</f>
        <v>#REF!</v>
      </c>
      <c r="F19" s="31" t="e">
        <f>#REF!</f>
        <v>#REF!</v>
      </c>
      <c r="G19" s="31"/>
      <c r="H19" s="3"/>
      <c r="I19" s="588"/>
      <c r="J19" s="3"/>
      <c r="K19" s="31" t="e">
        <f t="shared" si="0"/>
        <v>#REF!</v>
      </c>
    </row>
    <row r="20" spans="1:11" ht="12.75">
      <c r="A20" s="574">
        <v>3012</v>
      </c>
      <c r="B20" s="575" t="s">
        <v>332</v>
      </c>
      <c r="C20" s="31" t="e">
        <f>#REF!</f>
        <v>#REF!</v>
      </c>
      <c r="D20" s="31" t="e">
        <f>#REF!</f>
        <v>#REF!</v>
      </c>
      <c r="E20" s="31" t="e">
        <f>#REF!</f>
        <v>#REF!</v>
      </c>
      <c r="F20" s="31" t="e">
        <f>#REF!</f>
        <v>#REF!</v>
      </c>
      <c r="G20" s="31"/>
      <c r="H20" s="3"/>
      <c r="I20" s="588"/>
      <c r="J20" s="3"/>
      <c r="K20" s="31" t="e">
        <f t="shared" si="0"/>
        <v>#REF!</v>
      </c>
    </row>
    <row r="21" spans="1:11" ht="12.75">
      <c r="A21" s="574">
        <v>3013</v>
      </c>
      <c r="B21" s="575" t="s">
        <v>1395</v>
      </c>
      <c r="C21" s="31" t="e">
        <f>#REF!</f>
        <v>#REF!</v>
      </c>
      <c r="D21" s="31" t="e">
        <f>#REF!</f>
        <v>#REF!</v>
      </c>
      <c r="E21" s="31" t="e">
        <f>#REF!</f>
        <v>#REF!</v>
      </c>
      <c r="F21" s="31" t="e">
        <f>#REF!</f>
        <v>#REF!</v>
      </c>
      <c r="G21" s="31"/>
      <c r="H21" s="3"/>
      <c r="I21" s="588"/>
      <c r="J21" s="3"/>
      <c r="K21" s="31" t="e">
        <f t="shared" si="0"/>
        <v>#REF!</v>
      </c>
    </row>
    <row r="22" spans="1:11" ht="12.75">
      <c r="A22" s="574">
        <v>3014</v>
      </c>
      <c r="B22" s="575" t="s">
        <v>342</v>
      </c>
      <c r="C22" s="31" t="e">
        <f>#REF!</f>
        <v>#REF!</v>
      </c>
      <c r="D22" s="31" t="e">
        <f>#REF!</f>
        <v>#REF!</v>
      </c>
      <c r="E22" s="31" t="e">
        <f>#REF!</f>
        <v>#REF!</v>
      </c>
      <c r="F22" s="31" t="e">
        <f>#REF!</f>
        <v>#REF!</v>
      </c>
      <c r="G22" s="31"/>
      <c r="H22" s="3"/>
      <c r="I22" s="588"/>
      <c r="J22" s="3"/>
      <c r="K22" s="31" t="e">
        <f t="shared" si="0"/>
        <v>#REF!</v>
      </c>
    </row>
    <row r="23" spans="1:11" ht="12.75">
      <c r="A23" s="576">
        <v>4000</v>
      </c>
      <c r="B23" s="577" t="s">
        <v>1396</v>
      </c>
      <c r="C23" s="204" t="e">
        <f>#REF!</f>
        <v>#REF!</v>
      </c>
      <c r="D23" s="204" t="e">
        <f>#REF!</f>
        <v>#REF!</v>
      </c>
      <c r="E23" s="204" t="e">
        <f>#REF!</f>
        <v>#REF!</v>
      </c>
      <c r="F23" s="204" t="e">
        <f>#REF!</f>
        <v>#REF!</v>
      </c>
      <c r="G23" s="204"/>
      <c r="H23" s="3"/>
      <c r="I23" s="589"/>
      <c r="J23" s="3"/>
      <c r="K23" s="204" t="e">
        <f t="shared" si="0"/>
        <v>#REF!</v>
      </c>
    </row>
    <row r="24" spans="3:11" ht="12.75">
      <c r="C24" s="3"/>
      <c r="D24" s="3"/>
      <c r="E24" s="3"/>
      <c r="F24" s="3"/>
      <c r="G24" s="3"/>
      <c r="H24" s="3"/>
      <c r="I24" s="3"/>
      <c r="J24" s="3"/>
      <c r="K24" s="3"/>
    </row>
    <row r="25" spans="3:11" ht="12.75">
      <c r="C25" s="3"/>
      <c r="D25" s="3"/>
      <c r="E25" s="3"/>
      <c r="F25" s="3"/>
      <c r="G25" s="3"/>
      <c r="H25" s="3"/>
      <c r="I25" s="3"/>
      <c r="J25" s="3"/>
      <c r="K25" s="3"/>
    </row>
    <row r="26" spans="3:11" ht="12.75">
      <c r="C26" s="3"/>
      <c r="D26" s="3"/>
      <c r="E26" s="3"/>
      <c r="F26" s="3"/>
      <c r="G26" s="3"/>
      <c r="H26" s="3"/>
      <c r="I26" s="3"/>
      <c r="J26" s="3"/>
      <c r="K26" s="3"/>
    </row>
    <row r="27" spans="2:11" ht="12.75">
      <c r="B27" s="579" t="s">
        <v>949</v>
      </c>
      <c r="C27" s="583">
        <f>+'MLBSS_Receita e Despesa'!L103+'MLBSS_Receita e Despesa'!L104</f>
        <v>68542393.24</v>
      </c>
      <c r="D27" s="583" t="e">
        <f>+'MLBSS_Receita e Despesa'!#REF!</f>
        <v>#REF!</v>
      </c>
      <c r="E27" s="583" t="e">
        <f>+'MLBSS_Receita e Despesa'!#REF!+'MLBSS_Receita e Despesa'!#REF!</f>
        <v>#REF!</v>
      </c>
      <c r="F27" s="583" t="e">
        <f>+'MLBSS_Receita e Despesa'!#REF!</f>
        <v>#REF!</v>
      </c>
      <c r="G27" s="583">
        <f>+'MLBSS_Receita e Despesa'!L481</f>
        <v>4409704.25</v>
      </c>
      <c r="H27" s="581"/>
      <c r="I27" s="580"/>
      <c r="J27" s="581"/>
      <c r="K27" s="580"/>
    </row>
    <row r="28" spans="2:11" ht="12.75">
      <c r="B28" s="591"/>
      <c r="C28" s="592"/>
      <c r="D28" s="592"/>
      <c r="E28" s="592"/>
      <c r="F28" s="592"/>
      <c r="G28" s="592"/>
      <c r="H28" s="593"/>
      <c r="I28" s="592"/>
      <c r="J28" s="593"/>
      <c r="K28" s="592"/>
    </row>
    <row r="29" spans="2:11" ht="12.75">
      <c r="B29" s="594" t="s">
        <v>1581</v>
      </c>
      <c r="C29" s="595" t="e">
        <f aca="true" t="shared" si="1" ref="C29:I29">SUM(C5:C28)</f>
        <v>#REF!</v>
      </c>
      <c r="D29" s="595" t="e">
        <f t="shared" si="1"/>
        <v>#REF!</v>
      </c>
      <c r="E29" s="595" t="e">
        <f t="shared" si="1"/>
        <v>#REF!</v>
      </c>
      <c r="F29" s="595" t="e">
        <f t="shared" si="1"/>
        <v>#REF!</v>
      </c>
      <c r="G29" s="595" t="e">
        <f t="shared" si="1"/>
        <v>#REF!</v>
      </c>
      <c r="H29" s="596">
        <f t="shared" si="1"/>
        <v>0</v>
      </c>
      <c r="I29" s="595">
        <f t="shared" si="1"/>
        <v>0</v>
      </c>
      <c r="J29" s="596"/>
      <c r="K29" s="595" t="e">
        <f>SUM(K5:K28)</f>
        <v>#REF!</v>
      </c>
    </row>
    <row r="30" spans="2:11" ht="12.75">
      <c r="B30" s="203"/>
      <c r="C30" s="569"/>
      <c r="D30" s="569"/>
      <c r="E30" s="569"/>
      <c r="F30" s="569"/>
      <c r="G30" s="569"/>
      <c r="H30" s="569"/>
      <c r="I30" s="569"/>
      <c r="J30" s="569"/>
      <c r="K30" s="569"/>
    </row>
    <row r="31" spans="2:11" ht="12.75">
      <c r="B31" s="564" t="s">
        <v>429</v>
      </c>
      <c r="C31" s="568">
        <f>+'MLBSS_Receita e Despesa'!L110+'MLBSS_Receita e Despesa'!L112+'MLBSS_Receita e Despesa'!L113</f>
        <v>158500692.1599989</v>
      </c>
      <c r="D31" s="568">
        <f>+'MLBSS_Receita e Despesa'!L211++'MLBSS_Receita e Despesa'!L213++'MLBSS_Receita e Despesa'!L214</f>
        <v>69105773.3200002</v>
      </c>
      <c r="E31" s="568">
        <f>+'MLBSS_Receita e Despesa'!L310+'MLBSS_Receita e Despesa'!L312</f>
        <v>148504518.28999972</v>
      </c>
      <c r="F31" s="568">
        <f>+'MLBSS_Receita e Despesa'!L443+'MLBSS_Receita e Despesa'!L444+'MLBSS_Receita e Despesa'!L445+'MLBSS_Receita e Despesa'!L447+'MLBSS_Receita e Despesa'!L448</f>
        <v>488879232.6700057</v>
      </c>
      <c r="G31" s="568">
        <f>+'MLBSS_Receita e Despesa'!L493</f>
        <v>376518978.6899996</v>
      </c>
      <c r="H31" s="570"/>
      <c r="I31" s="566"/>
      <c r="J31" s="570"/>
      <c r="K31" s="566"/>
    </row>
    <row r="32" spans="2:11" ht="12.75">
      <c r="B32" s="203"/>
      <c r="C32" s="569"/>
      <c r="D32" s="569"/>
      <c r="E32" s="569"/>
      <c r="F32" s="569"/>
      <c r="G32" s="569"/>
      <c r="H32" s="569"/>
      <c r="I32" s="569"/>
      <c r="J32" s="569"/>
      <c r="K32" s="569"/>
    </row>
    <row r="33" spans="2:11" ht="12.75">
      <c r="B33" s="564" t="s">
        <v>920</v>
      </c>
      <c r="C33" s="568" t="e">
        <f>+C29+C31</f>
        <v>#REF!</v>
      </c>
      <c r="D33" s="568" t="e">
        <f aca="true" t="shared" si="2" ref="D33:K33">+D29+D31</f>
        <v>#REF!</v>
      </c>
      <c r="E33" s="568" t="e">
        <f t="shared" si="2"/>
        <v>#REF!</v>
      </c>
      <c r="F33" s="568" t="e">
        <f t="shared" si="2"/>
        <v>#REF!</v>
      </c>
      <c r="G33" s="568" t="e">
        <f t="shared" si="2"/>
        <v>#REF!</v>
      </c>
      <c r="H33" s="572">
        <f t="shared" si="2"/>
        <v>0</v>
      </c>
      <c r="I33" s="568">
        <f t="shared" si="2"/>
        <v>0</v>
      </c>
      <c r="J33" s="572"/>
      <c r="K33" s="568" t="e">
        <f t="shared" si="2"/>
        <v>#REF!</v>
      </c>
    </row>
  </sheetData>
  <mergeCells count="2">
    <mergeCell ref="C3:E3"/>
    <mergeCell ref="F3:G3"/>
  </mergeCells>
  <hyperlinks>
    <hyperlink ref="A6" location="'1001-8888'!A1" display="1001-8888"/>
    <hyperlink ref="A8" location="'2001'!A1" display="'2001'!A1"/>
    <hyperlink ref="A9" location="'3001'!A1" display="'3001'!A1"/>
    <hyperlink ref="A10" location="'3002'!A1" display="'3002'!A1"/>
    <hyperlink ref="A11" location="'3003'!A1" display="'3003'!A1"/>
    <hyperlink ref="A12" location="'3004'!A1" display="'3004'!A1"/>
    <hyperlink ref="A13" location="'3005'!A1" display="'3005'!A1"/>
    <hyperlink ref="A14" location="'3006'!A1" display="'3006'!A1"/>
    <hyperlink ref="A15" location="'3007'!A1" display="'3007'!A1"/>
    <hyperlink ref="A16" location="'3008'!A1" display="'3008'!A1"/>
    <hyperlink ref="A17" location="'3009'!A1" display="'3009'!A1"/>
    <hyperlink ref="A18" location="'3010'!A1" display="'3010'!A1"/>
    <hyperlink ref="A19" location="'3011'!A1" display="'3011'!A1"/>
    <hyperlink ref="A20" location="'3012'!A1" display="'3012'!A1"/>
    <hyperlink ref="A21" location="'3013'!A1" display="'3013'!A1"/>
    <hyperlink ref="A22" location="'3014'!A1" display="'3014'!A1"/>
    <hyperlink ref="A23" location="'4000'!A1" display="'4000'!A1"/>
    <hyperlink ref="A7" location="'1029'!A1" display="'1029'!A1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S596"/>
  <sheetViews>
    <sheetView view="pageBreakPreview" zoomScale="75" zoomScaleNormal="70" zoomScaleSheetLayoutView="75" workbookViewId="0" topLeftCell="B1">
      <selection activeCell="C286" sqref="C286"/>
    </sheetView>
  </sheetViews>
  <sheetFormatPr defaultColWidth="9.140625" defaultRowHeight="12.75"/>
  <cols>
    <col min="1" max="1" width="9.28125" style="365" hidden="1" customWidth="1"/>
    <col min="2" max="2" width="20.00390625" style="365" customWidth="1"/>
    <col min="3" max="3" width="10.7109375" style="365" customWidth="1"/>
    <col min="4" max="4" width="12.57421875" style="365" customWidth="1"/>
    <col min="5" max="5" width="54.8515625" style="365" customWidth="1"/>
    <col min="6" max="8" width="19.28125" style="365" customWidth="1"/>
    <col min="9" max="9" width="16.28125" style="365" bestFit="1" customWidth="1"/>
    <col min="10" max="16384" width="4.28125" style="365" customWidth="1"/>
  </cols>
  <sheetData>
    <row r="1" spans="2:4" ht="12" customHeight="1">
      <c r="B1" s="366" t="s">
        <v>1278</v>
      </c>
      <c r="C1" s="367" t="s">
        <v>1359</v>
      </c>
      <c r="D1" s="368"/>
    </row>
    <row r="2" spans="2:8" ht="12" customHeight="1">
      <c r="B2" s="369" t="s">
        <v>1137</v>
      </c>
      <c r="C2" s="370"/>
      <c r="D2" s="370"/>
      <c r="E2" s="370"/>
      <c r="F2" s="370"/>
      <c r="G2" s="370"/>
      <c r="H2" s="370"/>
    </row>
    <row r="3" spans="2:8" ht="12" customHeight="1">
      <c r="B3" s="369" t="s">
        <v>821</v>
      </c>
      <c r="C3" s="370"/>
      <c r="D3" s="370"/>
      <c r="E3" s="369"/>
      <c r="F3" s="369"/>
      <c r="G3" s="369"/>
      <c r="H3" s="369"/>
    </row>
    <row r="4" spans="2:8" ht="12" customHeight="1">
      <c r="B4" s="371"/>
      <c r="E4" s="369"/>
      <c r="F4" s="372"/>
      <c r="G4" s="372"/>
      <c r="H4" s="372"/>
    </row>
    <row r="5" spans="2:8" ht="12" customHeight="1">
      <c r="B5" s="373" t="s">
        <v>1360</v>
      </c>
      <c r="C5" s="374"/>
      <c r="D5" s="374"/>
      <c r="E5" s="373"/>
      <c r="F5" s="373" t="s">
        <v>1361</v>
      </c>
      <c r="G5" s="373" t="s">
        <v>1361</v>
      </c>
      <c r="H5" s="373"/>
    </row>
    <row r="6" spans="2:8" ht="12" customHeight="1">
      <c r="B6" s="375" t="s">
        <v>1362</v>
      </c>
      <c r="C6" s="376" t="s">
        <v>1363</v>
      </c>
      <c r="D6" s="376" t="s">
        <v>831</v>
      </c>
      <c r="E6" s="375" t="s">
        <v>1080</v>
      </c>
      <c r="F6" s="375">
        <v>2008</v>
      </c>
      <c r="G6" s="375">
        <v>2008</v>
      </c>
      <c r="H6" s="375" t="s">
        <v>1496</v>
      </c>
    </row>
    <row r="7" spans="2:8" ht="12" customHeight="1">
      <c r="B7" s="377" t="s">
        <v>832</v>
      </c>
      <c r="C7" s="378"/>
      <c r="D7" s="378"/>
      <c r="E7" s="377"/>
      <c r="F7" s="377" t="s">
        <v>1098</v>
      </c>
      <c r="G7" s="377" t="s">
        <v>833</v>
      </c>
      <c r="H7" s="377"/>
    </row>
    <row r="8" spans="2:8" ht="12" customHeight="1">
      <c r="B8" s="379"/>
      <c r="C8" s="380"/>
      <c r="D8" s="380"/>
      <c r="E8" s="375"/>
      <c r="F8" s="375"/>
      <c r="G8" s="375"/>
      <c r="H8" s="375"/>
    </row>
    <row r="9" spans="2:8" ht="12" customHeight="1">
      <c r="B9" s="381"/>
      <c r="C9" s="382"/>
      <c r="D9" s="382"/>
      <c r="E9" s="381" t="s">
        <v>1291</v>
      </c>
      <c r="F9" s="383"/>
      <c r="G9" s="383"/>
      <c r="H9" s="383"/>
    </row>
    <row r="10" spans="2:8" ht="12" customHeight="1">
      <c r="B10" s="382"/>
      <c r="C10" s="382"/>
      <c r="D10" s="382"/>
      <c r="E10" s="381"/>
      <c r="F10" s="383"/>
      <c r="G10" s="383"/>
      <c r="H10" s="383"/>
    </row>
    <row r="11" spans="2:9" s="384" customFormat="1" ht="12" customHeight="1">
      <c r="B11" s="385" t="s">
        <v>1433</v>
      </c>
      <c r="C11" s="385" t="s">
        <v>1434</v>
      </c>
      <c r="D11" s="385" t="s">
        <v>1327</v>
      </c>
      <c r="E11" s="386" t="s">
        <v>822</v>
      </c>
      <c r="F11" s="387" t="e">
        <f>SUM(F12:F13)</f>
        <v>#REF!</v>
      </c>
      <c r="G11" s="387">
        <f>+G12+G13</f>
        <v>420000000</v>
      </c>
      <c r="H11" s="387"/>
      <c r="I11" s="542">
        <f>'MLBSS_Receita e Despesa'!K19-G11</f>
        <v>0</v>
      </c>
    </row>
    <row r="12" spans="1:8" ht="12" customHeight="1">
      <c r="A12" s="365" t="str">
        <f>D11</f>
        <v>DA111001</v>
      </c>
      <c r="B12" s="382" t="s">
        <v>309</v>
      </c>
      <c r="C12" s="382"/>
      <c r="D12" s="382"/>
      <c r="E12" s="388" t="s">
        <v>310</v>
      </c>
      <c r="F12" s="383" t="e">
        <v>#REF!</v>
      </c>
      <c r="G12" s="383">
        <v>24605482</v>
      </c>
      <c r="H12" s="383"/>
    </row>
    <row r="13" spans="1:8" ht="12" customHeight="1">
      <c r="A13" s="365" t="str">
        <f>D11</f>
        <v>DA111001</v>
      </c>
      <c r="B13" s="382" t="s">
        <v>311</v>
      </c>
      <c r="C13" s="382"/>
      <c r="D13" s="382"/>
      <c r="E13" s="388" t="s">
        <v>312</v>
      </c>
      <c r="F13" s="383" t="e">
        <v>#REF!</v>
      </c>
      <c r="G13" s="383">
        <f>'MLBSS_Receita e Despesa'!K19-G12</f>
        <v>395394518</v>
      </c>
      <c r="H13" s="383"/>
    </row>
    <row r="14" spans="2:8" ht="12" customHeight="1">
      <c r="B14" s="382"/>
      <c r="C14" s="382"/>
      <c r="D14" s="382"/>
      <c r="E14" s="388"/>
      <c r="F14" s="383"/>
      <c r="G14" s="383"/>
      <c r="H14" s="383"/>
    </row>
    <row r="15" spans="2:8" ht="12" customHeight="1">
      <c r="B15" s="385" t="s">
        <v>1433</v>
      </c>
      <c r="C15" s="389" t="s">
        <v>1540</v>
      </c>
      <c r="D15" s="385" t="s">
        <v>1460</v>
      </c>
      <c r="E15" s="390" t="s">
        <v>1067</v>
      </c>
      <c r="F15" s="383"/>
      <c r="G15" s="383"/>
      <c r="H15" s="383"/>
    </row>
    <row r="16" spans="1:9" ht="12" customHeight="1">
      <c r="A16" s="365" t="str">
        <f>D15</f>
        <v>DA111002</v>
      </c>
      <c r="B16" s="382" t="s">
        <v>834</v>
      </c>
      <c r="C16" s="389"/>
      <c r="D16" s="389"/>
      <c r="E16" s="391" t="s">
        <v>1067</v>
      </c>
      <c r="F16" s="383" t="e">
        <v>#REF!</v>
      </c>
      <c r="G16" s="383">
        <f>+'MLBSS_Receita e Despesa'!K21</f>
        <v>284450168</v>
      </c>
      <c r="H16" s="383"/>
      <c r="I16" s="476">
        <f>'MLBSS_Receita e Despesa'!K21-G16</f>
        <v>0</v>
      </c>
    </row>
    <row r="17" spans="2:8" ht="12" customHeight="1">
      <c r="B17" s="382"/>
      <c r="C17" s="382"/>
      <c r="D17" s="382"/>
      <c r="E17" s="382"/>
      <c r="F17" s="383"/>
      <c r="G17" s="383"/>
      <c r="H17" s="383"/>
    </row>
    <row r="18" spans="2:9" ht="12" customHeight="1">
      <c r="B18" s="385" t="s">
        <v>1433</v>
      </c>
      <c r="C18" s="385" t="s">
        <v>835</v>
      </c>
      <c r="D18" s="385" t="s">
        <v>232</v>
      </c>
      <c r="E18" s="385" t="s">
        <v>1231</v>
      </c>
      <c r="F18" s="387" t="e">
        <f>SUM(F19:F21)</f>
        <v>#REF!</v>
      </c>
      <c r="G18" s="387">
        <f>+G19+G20</f>
        <v>139500000</v>
      </c>
      <c r="H18" s="387"/>
      <c r="I18" s="476">
        <f>'MLBSS_Receita e Despesa'!K23-G18</f>
        <v>137112996</v>
      </c>
    </row>
    <row r="19" spans="1:9" ht="12" customHeight="1">
      <c r="A19" s="365" t="str">
        <f>D18</f>
        <v>DA111003</v>
      </c>
      <c r="B19" s="382" t="s">
        <v>836</v>
      </c>
      <c r="C19" s="382"/>
      <c r="D19" s="382"/>
      <c r="E19" s="388" t="s">
        <v>26</v>
      </c>
      <c r="F19" s="383" t="e">
        <v>#REF!</v>
      </c>
      <c r="G19" s="383">
        <f>102599124-278940-20500000+10000000+16500000+25000000</f>
        <v>133320184</v>
      </c>
      <c r="H19" s="383"/>
      <c r="I19" s="476"/>
    </row>
    <row r="20" spans="1:9" ht="12" customHeight="1">
      <c r="A20" s="365" t="str">
        <f>D18</f>
        <v>DA111003</v>
      </c>
      <c r="B20" s="382" t="s">
        <v>1562</v>
      </c>
      <c r="C20" s="382"/>
      <c r="D20" s="382"/>
      <c r="E20" s="388" t="s">
        <v>28</v>
      </c>
      <c r="F20" s="383" t="e">
        <v>#REF!</v>
      </c>
      <c r="G20" s="383">
        <f>4179816+2000000</f>
        <v>6179816</v>
      </c>
      <c r="H20" s="383"/>
      <c r="I20" s="476"/>
    </row>
    <row r="21" spans="1:9" ht="12" customHeight="1">
      <c r="A21" s="365" t="str">
        <f>D18</f>
        <v>DA111003</v>
      </c>
      <c r="B21" s="382" t="s">
        <v>562</v>
      </c>
      <c r="C21" s="382"/>
      <c r="D21" s="382"/>
      <c r="E21" s="388" t="s">
        <v>563</v>
      </c>
      <c r="F21" s="383" t="e">
        <v>#REF!</v>
      </c>
      <c r="G21" s="383">
        <v>0</v>
      </c>
      <c r="H21" s="383"/>
      <c r="I21" s="476"/>
    </row>
    <row r="22" spans="2:8" ht="12" customHeight="1">
      <c r="B22" s="382"/>
      <c r="C22" s="382"/>
      <c r="D22" s="382"/>
      <c r="E22" s="382"/>
      <c r="F22" s="383"/>
      <c r="G22" s="383"/>
      <c r="H22" s="383"/>
    </row>
    <row r="23" spans="2:9" s="384" customFormat="1" ht="12" customHeight="1">
      <c r="B23" s="385" t="s">
        <v>1433</v>
      </c>
      <c r="C23" s="385" t="s">
        <v>313</v>
      </c>
      <c r="D23" s="385" t="s">
        <v>564</v>
      </c>
      <c r="E23" s="386" t="s">
        <v>924</v>
      </c>
      <c r="F23" s="387" t="e">
        <f>SUM(F24:F28)</f>
        <v>#REF!</v>
      </c>
      <c r="G23" s="387">
        <f>SUM(G24:G28)</f>
        <v>2753331</v>
      </c>
      <c r="H23" s="387"/>
      <c r="I23" s="418">
        <f>G23-'MLBSS_Receita e Despesa'!K25</f>
        <v>1486674</v>
      </c>
    </row>
    <row r="24" spans="2:8" ht="12" customHeight="1">
      <c r="B24" s="382" t="s">
        <v>1466</v>
      </c>
      <c r="C24" s="382"/>
      <c r="D24" s="382"/>
      <c r="E24" s="388" t="s">
        <v>765</v>
      </c>
      <c r="F24" s="383" t="e">
        <v>#REF!</v>
      </c>
      <c r="G24" s="383">
        <v>2147066</v>
      </c>
      <c r="H24" s="383"/>
    </row>
    <row r="25" spans="2:8" ht="12" customHeight="1">
      <c r="B25" s="382" t="s">
        <v>1467</v>
      </c>
      <c r="C25" s="382"/>
      <c r="D25" s="382"/>
      <c r="E25" s="388" t="s">
        <v>785</v>
      </c>
      <c r="F25" s="383" t="e">
        <v>#REF!</v>
      </c>
      <c r="G25" s="383">
        <v>467953</v>
      </c>
      <c r="H25" s="383"/>
    </row>
    <row r="26" spans="2:8" ht="12" customHeight="1">
      <c r="B26" s="382" t="s">
        <v>1468</v>
      </c>
      <c r="C26" s="382"/>
      <c r="D26" s="382"/>
      <c r="E26" s="388" t="s">
        <v>813</v>
      </c>
      <c r="F26" s="383" t="e">
        <v>#REF!</v>
      </c>
      <c r="G26" s="383">
        <v>0</v>
      </c>
      <c r="H26" s="383"/>
    </row>
    <row r="27" spans="2:8" ht="12" customHeight="1">
      <c r="B27" s="382" t="s">
        <v>856</v>
      </c>
      <c r="C27" s="382"/>
      <c r="D27" s="382"/>
      <c r="E27" s="388" t="s">
        <v>1427</v>
      </c>
      <c r="F27" s="383" t="e">
        <v>#REF!</v>
      </c>
      <c r="G27" s="383">
        <v>118789</v>
      </c>
      <c r="H27" s="383"/>
    </row>
    <row r="28" spans="2:8" ht="12" customHeight="1">
      <c r="B28" s="382" t="s">
        <v>118</v>
      </c>
      <c r="C28" s="382"/>
      <c r="D28" s="382"/>
      <c r="E28" s="388" t="s">
        <v>565</v>
      </c>
      <c r="F28" s="383" t="e">
        <v>#REF!</v>
      </c>
      <c r="G28" s="383">
        <v>19523</v>
      </c>
      <c r="H28" s="383"/>
    </row>
    <row r="29" spans="2:8" ht="12" customHeight="1">
      <c r="B29" s="382"/>
      <c r="C29" s="382"/>
      <c r="D29" s="382"/>
      <c r="E29" s="382"/>
      <c r="F29" s="383"/>
      <c r="G29" s="383"/>
      <c r="H29" s="383"/>
    </row>
    <row r="30" spans="2:9" s="384" customFormat="1" ht="12" customHeight="1">
      <c r="B30" s="385" t="s">
        <v>1433</v>
      </c>
      <c r="C30" s="385" t="s">
        <v>566</v>
      </c>
      <c r="D30" s="385" t="s">
        <v>231</v>
      </c>
      <c r="E30" s="385" t="s">
        <v>2</v>
      </c>
      <c r="F30" s="387" t="e">
        <f>SUM(F31:F34)</f>
        <v>#REF!</v>
      </c>
      <c r="G30" s="387">
        <f>SUM(G31:G34)</f>
        <v>110000</v>
      </c>
      <c r="H30" s="387"/>
      <c r="I30" s="418">
        <f>G30-'MLBSS_Receita e Despesa'!K28</f>
        <v>0</v>
      </c>
    </row>
    <row r="31" spans="1:8" ht="12" customHeight="1">
      <c r="A31" s="365" t="str">
        <f>D30</f>
        <v>DA111005</v>
      </c>
      <c r="B31" s="382" t="s">
        <v>567</v>
      </c>
      <c r="C31" s="382"/>
      <c r="D31" s="382"/>
      <c r="E31" s="391" t="s">
        <v>568</v>
      </c>
      <c r="F31" s="383" t="e">
        <v>#REF!</v>
      </c>
      <c r="G31" s="383">
        <v>50000</v>
      </c>
      <c r="H31" s="383"/>
    </row>
    <row r="32" spans="1:8" ht="12" customHeight="1">
      <c r="A32" s="365" t="str">
        <f>D30</f>
        <v>DA111005</v>
      </c>
      <c r="B32" s="382" t="s">
        <v>569</v>
      </c>
      <c r="C32" s="382"/>
      <c r="D32" s="382"/>
      <c r="E32" s="391" t="s">
        <v>1120</v>
      </c>
      <c r="F32" s="383" t="e">
        <v>#REF!</v>
      </c>
      <c r="G32" s="383">
        <v>15000</v>
      </c>
      <c r="H32" s="383"/>
    </row>
    <row r="33" spans="1:8" ht="12" customHeight="1">
      <c r="A33" s="365" t="str">
        <f>D30</f>
        <v>DA111005</v>
      </c>
      <c r="B33" s="382" t="s">
        <v>579</v>
      </c>
      <c r="C33" s="382"/>
      <c r="D33" s="382"/>
      <c r="E33" s="391" t="s">
        <v>644</v>
      </c>
      <c r="F33" s="383" t="e">
        <v>#REF!</v>
      </c>
      <c r="G33" s="383">
        <v>30000</v>
      </c>
      <c r="H33" s="383"/>
    </row>
    <row r="34" spans="1:8" ht="12" customHeight="1">
      <c r="A34" s="365" t="str">
        <f>D30</f>
        <v>DA111005</v>
      </c>
      <c r="B34" s="382" t="s">
        <v>645</v>
      </c>
      <c r="C34" s="382"/>
      <c r="D34" s="382"/>
      <c r="E34" s="391" t="s">
        <v>646</v>
      </c>
      <c r="F34" s="383" t="e">
        <v>#REF!</v>
      </c>
      <c r="G34" s="383">
        <v>15000</v>
      </c>
      <c r="H34" s="383"/>
    </row>
    <row r="35" spans="2:8" ht="12" customHeight="1">
      <c r="B35" s="386"/>
      <c r="C35" s="382"/>
      <c r="D35" s="382"/>
      <c r="E35" s="386"/>
      <c r="F35" s="383"/>
      <c r="G35" s="383"/>
      <c r="H35" s="383"/>
    </row>
    <row r="36" spans="2:9" s="384" customFormat="1" ht="12" customHeight="1">
      <c r="B36" s="385" t="s">
        <v>1433</v>
      </c>
      <c r="C36" s="385" t="s">
        <v>315</v>
      </c>
      <c r="D36" s="385" t="s">
        <v>1328</v>
      </c>
      <c r="E36" s="386" t="s">
        <v>316</v>
      </c>
      <c r="F36" s="387" t="e">
        <f>SUM(F37:F42)</f>
        <v>#REF!</v>
      </c>
      <c r="G36" s="387" t="e">
        <f>SUM(G37:G42)</f>
        <v>#REF!</v>
      </c>
      <c r="H36" s="387"/>
      <c r="I36" s="418" t="e">
        <f>G36-'MLBSS_Receita e Despesa'!K34-'MLBSS_Receita e Despesa'!K35-'MLBSS_Receita e Despesa'!K37</f>
        <v>#REF!</v>
      </c>
    </row>
    <row r="37" spans="1:9" ht="12" customHeight="1">
      <c r="A37" s="365" t="str">
        <f>D36</f>
        <v>DA111006</v>
      </c>
      <c r="B37" s="392" t="s">
        <v>317</v>
      </c>
      <c r="C37" s="382"/>
      <c r="D37" s="382"/>
      <c r="E37" s="388" t="s">
        <v>1517</v>
      </c>
      <c r="F37" s="383" t="e">
        <v>#REF!</v>
      </c>
      <c r="G37" s="383">
        <f>+'MLBSS_Receita e Despesa'!K34</f>
        <v>721805</v>
      </c>
      <c r="H37" s="383"/>
      <c r="I37" s="476"/>
    </row>
    <row r="38" spans="1:8" ht="12" customHeight="1">
      <c r="A38" s="365" t="str">
        <f>D36</f>
        <v>DA111006</v>
      </c>
      <c r="B38" s="392" t="s">
        <v>647</v>
      </c>
      <c r="C38" s="393"/>
      <c r="D38" s="393"/>
      <c r="E38" s="388" t="s">
        <v>1075</v>
      </c>
      <c r="F38" s="383" t="e">
        <v>#REF!</v>
      </c>
      <c r="G38" s="383" t="e">
        <f>+F38</f>
        <v>#REF!</v>
      </c>
      <c r="H38" s="383"/>
    </row>
    <row r="39" spans="1:8" ht="12" customHeight="1">
      <c r="A39" s="365" t="str">
        <f>D36</f>
        <v>DA111006</v>
      </c>
      <c r="B39" s="392" t="s">
        <v>94</v>
      </c>
      <c r="C39" s="393"/>
      <c r="D39" s="393"/>
      <c r="E39" s="388" t="s">
        <v>1075</v>
      </c>
      <c r="F39" s="383" t="e">
        <v>#REF!</v>
      </c>
      <c r="G39" s="383" t="e">
        <f>+F39</f>
        <v>#REF!</v>
      </c>
      <c r="H39" s="383"/>
    </row>
    <row r="40" spans="1:8" ht="12" customHeight="1">
      <c r="A40" s="365" t="str">
        <f>D36</f>
        <v>DA111006</v>
      </c>
      <c r="B40" s="392" t="s">
        <v>95</v>
      </c>
      <c r="C40" s="393"/>
      <c r="D40" s="393"/>
      <c r="E40" s="388" t="s">
        <v>1075</v>
      </c>
      <c r="F40" s="383" t="e">
        <v>#REF!</v>
      </c>
      <c r="G40" s="383" t="e">
        <f>+F40</f>
        <v>#REF!</v>
      </c>
      <c r="H40" s="383"/>
    </row>
    <row r="41" spans="2:8" ht="12" customHeight="1">
      <c r="B41" s="386"/>
      <c r="C41" s="382"/>
      <c r="D41" s="382"/>
      <c r="E41" s="386"/>
      <c r="F41" s="383"/>
      <c r="G41" s="383"/>
      <c r="H41" s="383"/>
    </row>
    <row r="42" spans="1:8" ht="12" customHeight="1">
      <c r="A42" s="365" t="str">
        <f>D36</f>
        <v>DA111006</v>
      </c>
      <c r="B42" s="392" t="s">
        <v>774</v>
      </c>
      <c r="C42" s="382"/>
      <c r="D42" s="382"/>
      <c r="E42" s="388" t="s">
        <v>923</v>
      </c>
      <c r="F42" s="383" t="e">
        <v>#REF!</v>
      </c>
      <c r="G42" s="383">
        <f>+'MLBSS_Receita e Despesa'!K37</f>
        <v>5656830</v>
      </c>
      <c r="H42" s="383"/>
    </row>
    <row r="43" spans="2:8" ht="12" customHeight="1">
      <c r="B43" s="386"/>
      <c r="C43" s="382"/>
      <c r="D43" s="382"/>
      <c r="E43" s="386"/>
      <c r="F43" s="383"/>
      <c r="G43" s="383"/>
      <c r="H43" s="383"/>
    </row>
    <row r="44" spans="2:9" ht="12" customHeight="1">
      <c r="B44" s="385" t="s">
        <v>1433</v>
      </c>
      <c r="C44" s="385" t="s">
        <v>319</v>
      </c>
      <c r="D44" s="385" t="s">
        <v>1329</v>
      </c>
      <c r="E44" s="386" t="s">
        <v>391</v>
      </c>
      <c r="F44" s="387" t="e">
        <f>+F46+F51+F52+F53+F54+F56+F61+F65</f>
        <v>#REF!</v>
      </c>
      <c r="G44" s="387">
        <f>+G46+G51+G52+G53+G54+G56+G61+G65</f>
        <v>1973771871</v>
      </c>
      <c r="H44" s="387"/>
      <c r="I44" s="476">
        <f>G44-'MLBSS_Receita e Despesa'!K39</f>
        <v>0</v>
      </c>
    </row>
    <row r="45" spans="2:8" ht="12" customHeight="1">
      <c r="B45" s="392"/>
      <c r="C45" s="382"/>
      <c r="D45" s="382"/>
      <c r="E45" s="386"/>
      <c r="F45" s="383"/>
      <c r="G45" s="383"/>
      <c r="H45" s="383"/>
    </row>
    <row r="46" spans="2:8" ht="12" customHeight="1">
      <c r="B46" s="392"/>
      <c r="C46" s="382"/>
      <c r="D46" s="382"/>
      <c r="E46" s="391" t="s">
        <v>893</v>
      </c>
      <c r="F46" s="383" t="e">
        <f>SUM(F47:F49)</f>
        <v>#REF!</v>
      </c>
      <c r="G46" s="383">
        <f>SUM(G47:G49)</f>
        <v>1570442475</v>
      </c>
      <c r="H46" s="383"/>
    </row>
    <row r="47" spans="1:8" ht="12" customHeight="1">
      <c r="A47" s="365" t="str">
        <f>D44</f>
        <v>DA111007</v>
      </c>
      <c r="B47" s="392" t="s">
        <v>144</v>
      </c>
      <c r="C47" s="382"/>
      <c r="D47" s="382"/>
      <c r="E47" s="394" t="s">
        <v>29</v>
      </c>
      <c r="F47" s="383" t="e">
        <v>#REF!</v>
      </c>
      <c r="G47" s="383">
        <f>+'MLBSS_Receita e Despesa'!K41</f>
        <v>213877592</v>
      </c>
      <c r="H47" s="383"/>
    </row>
    <row r="48" spans="1:8" ht="12" customHeight="1">
      <c r="A48" s="365" t="str">
        <f>D44</f>
        <v>DA111007</v>
      </c>
      <c r="B48" s="392" t="s">
        <v>1371</v>
      </c>
      <c r="C48" s="382"/>
      <c r="D48" s="382"/>
      <c r="E48" s="394" t="s">
        <v>26</v>
      </c>
      <c r="F48" s="383" t="e">
        <v>#REF!</v>
      </c>
      <c r="G48" s="383">
        <f>+'MLBSS_Receita e Despesa'!K42</f>
        <v>1193711448</v>
      </c>
      <c r="H48" s="383"/>
    </row>
    <row r="49" spans="1:8" ht="12" customHeight="1">
      <c r="A49" s="365" t="str">
        <f>D44</f>
        <v>DA111007</v>
      </c>
      <c r="B49" s="392" t="s">
        <v>1372</v>
      </c>
      <c r="C49" s="382"/>
      <c r="D49" s="382"/>
      <c r="E49" s="394" t="s">
        <v>28</v>
      </c>
      <c r="F49" s="383" t="e">
        <v>#REF!</v>
      </c>
      <c r="G49" s="383">
        <f>+'MLBSS_Receita e Despesa'!K43</f>
        <v>162853435</v>
      </c>
      <c r="H49" s="383"/>
    </row>
    <row r="50" spans="2:8" ht="12" customHeight="1">
      <c r="B50" s="391"/>
      <c r="C50" s="382"/>
      <c r="D50" s="382"/>
      <c r="E50" s="382"/>
      <c r="F50" s="383"/>
      <c r="G50" s="383"/>
      <c r="H50" s="383"/>
    </row>
    <row r="51" spans="1:8" ht="12" customHeight="1">
      <c r="A51" s="365" t="str">
        <f>D44</f>
        <v>DA111007</v>
      </c>
      <c r="B51" s="392" t="s">
        <v>859</v>
      </c>
      <c r="C51" s="382"/>
      <c r="D51" s="382"/>
      <c r="E51" s="391" t="s">
        <v>352</v>
      </c>
      <c r="F51" s="383" t="e">
        <v>#REF!</v>
      </c>
      <c r="G51" s="383">
        <f>+'MLBSS_Receita e Despesa'!K45</f>
        <v>89362220</v>
      </c>
      <c r="H51" s="383"/>
    </row>
    <row r="52" spans="1:8" ht="12" customHeight="1">
      <c r="A52" s="365" t="str">
        <f>D44</f>
        <v>DA111007</v>
      </c>
      <c r="B52" s="392" t="s">
        <v>860</v>
      </c>
      <c r="C52" s="382"/>
      <c r="D52" s="382"/>
      <c r="E52" s="391" t="s">
        <v>819</v>
      </c>
      <c r="F52" s="383" t="e">
        <v>#REF!</v>
      </c>
      <c r="G52" s="383">
        <f>+'MLBSS_Receita e Despesa'!K46</f>
        <v>627995</v>
      </c>
      <c r="H52" s="383"/>
    </row>
    <row r="53" spans="1:8" ht="12" customHeight="1">
      <c r="A53" s="365" t="str">
        <f>D44</f>
        <v>DA111007</v>
      </c>
      <c r="B53" s="392" t="s">
        <v>861</v>
      </c>
      <c r="C53" s="382"/>
      <c r="D53" s="382"/>
      <c r="E53" s="391" t="s">
        <v>820</v>
      </c>
      <c r="F53" s="383" t="e">
        <v>#REF!</v>
      </c>
      <c r="G53" s="383">
        <f>+'MLBSS_Receita e Despesa'!K47</f>
        <v>3927016</v>
      </c>
      <c r="H53" s="383"/>
    </row>
    <row r="54" spans="1:8" ht="12" customHeight="1">
      <c r="A54" s="365" t="str">
        <f>D44</f>
        <v>DA111007</v>
      </c>
      <c r="B54" s="392" t="s">
        <v>862</v>
      </c>
      <c r="C54" s="382"/>
      <c r="D54" s="382"/>
      <c r="E54" s="391" t="s">
        <v>1192</v>
      </c>
      <c r="F54" s="383" t="e">
        <v>#REF!</v>
      </c>
      <c r="G54" s="383">
        <f>+'MLBSS_Receita e Despesa'!K48</f>
        <v>661000</v>
      </c>
      <c r="H54" s="383"/>
    </row>
    <row r="55" spans="2:8" ht="12" customHeight="1">
      <c r="B55" s="391"/>
      <c r="C55" s="382"/>
      <c r="D55" s="382"/>
      <c r="E55" s="382"/>
      <c r="F55" s="383"/>
      <c r="G55" s="383"/>
      <c r="H55" s="383"/>
    </row>
    <row r="56" spans="2:8" ht="12" customHeight="1">
      <c r="B56" s="382"/>
      <c r="C56" s="382"/>
      <c r="D56" s="382"/>
      <c r="E56" s="391" t="s">
        <v>92</v>
      </c>
      <c r="F56" s="383" t="e">
        <f>SUM(F57:F59)</f>
        <v>#REF!</v>
      </c>
      <c r="G56" s="383">
        <f>SUM(G57:G59)</f>
        <v>280114995</v>
      </c>
      <c r="H56" s="383"/>
    </row>
    <row r="57" spans="1:8" ht="12" customHeight="1">
      <c r="A57" s="365" t="str">
        <f>D44</f>
        <v>DA111007</v>
      </c>
      <c r="B57" s="392" t="s">
        <v>863</v>
      </c>
      <c r="C57" s="382"/>
      <c r="D57" s="382"/>
      <c r="E57" s="394" t="s">
        <v>29</v>
      </c>
      <c r="F57" s="383" t="e">
        <v>#REF!</v>
      </c>
      <c r="G57" s="383">
        <f>+'MLBSS_Receita e Despesa'!K51</f>
        <v>136527691</v>
      </c>
      <c r="H57" s="383"/>
    </row>
    <row r="58" spans="1:8" ht="12" customHeight="1">
      <c r="A58" s="365" t="str">
        <f>D44</f>
        <v>DA111007</v>
      </c>
      <c r="B58" s="392" t="s">
        <v>864</v>
      </c>
      <c r="C58" s="382"/>
      <c r="D58" s="382"/>
      <c r="E58" s="394" t="s">
        <v>26</v>
      </c>
      <c r="F58" s="383" t="e">
        <v>#REF!</v>
      </c>
      <c r="G58" s="383">
        <f>+'MLBSS_Receita e Despesa'!K52</f>
        <v>141807848</v>
      </c>
      <c r="H58" s="383"/>
    </row>
    <row r="59" spans="1:8" ht="12" customHeight="1">
      <c r="A59" s="365" t="str">
        <f>D44</f>
        <v>DA111007</v>
      </c>
      <c r="B59" s="392" t="s">
        <v>34</v>
      </c>
      <c r="C59" s="382"/>
      <c r="D59" s="382"/>
      <c r="E59" s="394" t="s">
        <v>28</v>
      </c>
      <c r="F59" s="383" t="e">
        <v>#REF!</v>
      </c>
      <c r="G59" s="383">
        <f>+'MLBSS_Receita e Despesa'!K53</f>
        <v>1779456</v>
      </c>
      <c r="H59" s="383"/>
    </row>
    <row r="60" spans="2:8" ht="12" customHeight="1">
      <c r="B60" s="382"/>
      <c r="C60" s="382"/>
      <c r="D60" s="382"/>
      <c r="E60" s="382"/>
      <c r="F60" s="383"/>
      <c r="G60" s="383"/>
      <c r="H60" s="383"/>
    </row>
    <row r="61" spans="2:8" ht="12" customHeight="1">
      <c r="B61" s="382"/>
      <c r="C61" s="382"/>
      <c r="D61" s="382"/>
      <c r="E61" s="391" t="s">
        <v>1497</v>
      </c>
      <c r="F61" s="383" t="e">
        <f>+F62+F63</f>
        <v>#REF!</v>
      </c>
      <c r="G61" s="383">
        <f>+G62+G63</f>
        <v>28636170</v>
      </c>
      <c r="H61" s="383"/>
    </row>
    <row r="62" spans="1:8" ht="12" customHeight="1">
      <c r="A62" s="365" t="str">
        <f>D44</f>
        <v>DA111007</v>
      </c>
      <c r="B62" s="382" t="s">
        <v>302</v>
      </c>
      <c r="C62" s="382"/>
      <c r="D62" s="382"/>
      <c r="E62" s="394" t="s">
        <v>29</v>
      </c>
      <c r="F62" s="383" t="e">
        <v>#REF!</v>
      </c>
      <c r="G62" s="383">
        <f>+'MLBSS_Receita e Despesa'!K56</f>
        <v>12143387</v>
      </c>
      <c r="H62" s="383"/>
    </row>
    <row r="63" spans="1:8" ht="12" customHeight="1">
      <c r="A63" s="365" t="str">
        <f>D44</f>
        <v>DA111007</v>
      </c>
      <c r="B63" s="382" t="s">
        <v>303</v>
      </c>
      <c r="C63" s="382"/>
      <c r="D63" s="382"/>
      <c r="E63" s="394" t="s">
        <v>26</v>
      </c>
      <c r="F63" s="383" t="e">
        <v>#REF!</v>
      </c>
      <c r="G63" s="383">
        <f>+'MLBSS_Receita e Despesa'!K57</f>
        <v>16492783</v>
      </c>
      <c r="H63" s="383"/>
    </row>
    <row r="64" spans="2:8" ht="12" customHeight="1">
      <c r="B64" s="382"/>
      <c r="C64" s="382"/>
      <c r="D64" s="382"/>
      <c r="E64" s="394"/>
      <c r="F64" s="383"/>
      <c r="G64" s="383"/>
      <c r="H64" s="383"/>
    </row>
    <row r="65" spans="1:8" ht="12" customHeight="1">
      <c r="A65" s="365" t="str">
        <f>D44</f>
        <v>DA111007</v>
      </c>
      <c r="B65" s="382" t="s">
        <v>304</v>
      </c>
      <c r="C65" s="382"/>
      <c r="D65" s="382"/>
      <c r="E65" s="391" t="s">
        <v>1418</v>
      </c>
      <c r="F65" s="383" t="e">
        <v>#REF!</v>
      </c>
      <c r="G65" s="383">
        <f>+'MLBSS_Receita e Despesa'!K59</f>
        <v>0</v>
      </c>
      <c r="H65" s="383"/>
    </row>
    <row r="66" spans="2:8" ht="12" customHeight="1">
      <c r="B66" s="386"/>
      <c r="C66" s="382"/>
      <c r="D66" s="382"/>
      <c r="E66" s="382"/>
      <c r="F66" s="383"/>
      <c r="G66" s="383"/>
      <c r="H66" s="383"/>
    </row>
    <row r="67" spans="2:9" ht="12" customHeight="1">
      <c r="B67" s="385" t="s">
        <v>1433</v>
      </c>
      <c r="C67" s="385" t="s">
        <v>305</v>
      </c>
      <c r="D67" s="385" t="s">
        <v>1330</v>
      </c>
      <c r="E67" s="386" t="s">
        <v>1498</v>
      </c>
      <c r="F67" s="387" t="e">
        <f>+F68+F72+F75</f>
        <v>#REF!</v>
      </c>
      <c r="G67" s="387">
        <f>+G68+G72+G75</f>
        <v>32765403</v>
      </c>
      <c r="H67" s="387"/>
      <c r="I67" s="476">
        <f>G67-'MLBSS_Receita e Despesa'!K61</f>
        <v>0</v>
      </c>
    </row>
    <row r="68" spans="2:8" ht="12" customHeight="1">
      <c r="B68" s="382"/>
      <c r="C68" s="382"/>
      <c r="D68" s="382"/>
      <c r="E68" s="391" t="s">
        <v>92</v>
      </c>
      <c r="F68" s="383" t="e">
        <f>SUM(F69:F71)</f>
        <v>#REF!</v>
      </c>
      <c r="G68" s="383">
        <f>SUM(G69:G71)</f>
        <v>27425105</v>
      </c>
      <c r="H68" s="383"/>
    </row>
    <row r="69" spans="1:8" ht="12" customHeight="1">
      <c r="A69" s="365" t="str">
        <f>D67</f>
        <v>DA111008</v>
      </c>
      <c r="B69" s="382" t="s">
        <v>900</v>
      </c>
      <c r="C69" s="382"/>
      <c r="D69" s="382"/>
      <c r="E69" s="394" t="s">
        <v>29</v>
      </c>
      <c r="F69" s="383" t="e">
        <v>#REF!</v>
      </c>
      <c r="G69" s="383">
        <f>+'MLBSS_Receita e Despesa'!K63</f>
        <v>2697319</v>
      </c>
      <c r="H69" s="383"/>
    </row>
    <row r="70" spans="1:8" ht="12" customHeight="1">
      <c r="A70" s="365" t="str">
        <f>D67</f>
        <v>DA111008</v>
      </c>
      <c r="B70" s="382" t="s">
        <v>901</v>
      </c>
      <c r="C70" s="382"/>
      <c r="D70" s="382"/>
      <c r="E70" s="394" t="s">
        <v>26</v>
      </c>
      <c r="F70" s="383" t="e">
        <v>#REF!</v>
      </c>
      <c r="G70" s="383">
        <f>+'MLBSS_Receita e Despesa'!K64</f>
        <v>23581855</v>
      </c>
      <c r="H70" s="383"/>
    </row>
    <row r="71" spans="1:8" ht="12" customHeight="1">
      <c r="A71" s="365" t="str">
        <f>D67</f>
        <v>DA111008</v>
      </c>
      <c r="B71" s="382" t="s">
        <v>902</v>
      </c>
      <c r="C71" s="382"/>
      <c r="D71" s="382"/>
      <c r="E71" s="394" t="s">
        <v>28</v>
      </c>
      <c r="F71" s="383" t="e">
        <v>#REF!</v>
      </c>
      <c r="G71" s="383">
        <f>+'MLBSS_Receita e Despesa'!K65</f>
        <v>1145931</v>
      </c>
      <c r="H71" s="383"/>
    </row>
    <row r="72" spans="2:8" ht="12" customHeight="1">
      <c r="B72" s="382"/>
      <c r="C72" s="382"/>
      <c r="D72" s="382"/>
      <c r="E72" s="391" t="s">
        <v>1497</v>
      </c>
      <c r="F72" s="383" t="e">
        <f>SUM(F73:F75)</f>
        <v>#REF!</v>
      </c>
      <c r="G72" s="383">
        <f>SUM(G73:G75)</f>
        <v>5340298</v>
      </c>
      <c r="H72" s="383"/>
    </row>
    <row r="73" spans="1:8" ht="12" customHeight="1">
      <c r="A73" s="365" t="str">
        <f>D67</f>
        <v>DA111008</v>
      </c>
      <c r="B73" s="382" t="s">
        <v>615</v>
      </c>
      <c r="C73" s="382"/>
      <c r="D73" s="382"/>
      <c r="E73" s="394" t="s">
        <v>29</v>
      </c>
      <c r="F73" s="383" t="e">
        <v>#REF!</v>
      </c>
      <c r="G73" s="383">
        <f>+'MLBSS_Receita e Despesa'!K68</f>
        <v>268759</v>
      </c>
      <c r="H73" s="383"/>
    </row>
    <row r="74" spans="1:8" ht="12" customHeight="1">
      <c r="A74" s="365" t="str">
        <f>D67</f>
        <v>DA111008</v>
      </c>
      <c r="B74" s="382" t="s">
        <v>616</v>
      </c>
      <c r="C74" s="382"/>
      <c r="D74" s="382"/>
      <c r="E74" s="394" t="s">
        <v>26</v>
      </c>
      <c r="F74" s="383" t="e">
        <v>#REF!</v>
      </c>
      <c r="G74" s="383">
        <f>+'MLBSS_Receita e Despesa'!K69</f>
        <v>5071539</v>
      </c>
      <c r="H74" s="383"/>
    </row>
    <row r="75" spans="1:8" ht="12" customHeight="1">
      <c r="A75" s="365" t="str">
        <f>D67</f>
        <v>DA111008</v>
      </c>
      <c r="B75" s="382" t="s">
        <v>770</v>
      </c>
      <c r="C75" s="382"/>
      <c r="D75" s="382"/>
      <c r="E75" s="391" t="s">
        <v>23</v>
      </c>
      <c r="F75" s="383" t="e">
        <v>#REF!</v>
      </c>
      <c r="G75" s="383"/>
      <c r="H75" s="383"/>
    </row>
    <row r="76" spans="2:8" ht="12" customHeight="1">
      <c r="B76" s="382"/>
      <c r="C76" s="382"/>
      <c r="D76" s="382"/>
      <c r="E76" s="382"/>
      <c r="F76" s="383"/>
      <c r="G76" s="383"/>
      <c r="H76" s="383"/>
    </row>
    <row r="77" spans="2:9" ht="12" customHeight="1">
      <c r="B77" s="385" t="s">
        <v>1433</v>
      </c>
      <c r="C77" s="385" t="s">
        <v>771</v>
      </c>
      <c r="D77" s="385" t="s">
        <v>1331</v>
      </c>
      <c r="E77" s="386" t="s">
        <v>663</v>
      </c>
      <c r="F77" s="387" t="e">
        <f>+F78+F82</f>
        <v>#REF!</v>
      </c>
      <c r="G77" s="387">
        <f>+G78+G82</f>
        <v>649077412</v>
      </c>
      <c r="H77" s="387"/>
      <c r="I77" s="476">
        <f>G77-'MLBSS_Receita e Despesa'!K72</f>
        <v>0</v>
      </c>
    </row>
    <row r="78" spans="2:8" ht="12" customHeight="1">
      <c r="B78" s="382"/>
      <c r="C78" s="382"/>
      <c r="D78" s="382"/>
      <c r="E78" s="391" t="s">
        <v>92</v>
      </c>
      <c r="F78" s="383" t="e">
        <f>SUM(F79:F81)</f>
        <v>#REF!</v>
      </c>
      <c r="G78" s="383">
        <f>SUM(G79:G81)</f>
        <v>648806067</v>
      </c>
      <c r="H78" s="383"/>
    </row>
    <row r="79" spans="1:8" ht="12" customHeight="1">
      <c r="A79" s="365" t="str">
        <f>D77</f>
        <v>DA111009</v>
      </c>
      <c r="B79" s="382" t="s">
        <v>664</v>
      </c>
      <c r="C79" s="382"/>
      <c r="D79" s="382"/>
      <c r="E79" s="394" t="s">
        <v>29</v>
      </c>
      <c r="F79" s="383" t="e">
        <v>#REF!</v>
      </c>
      <c r="G79" s="383">
        <f>+'MLBSS_Receita e Despesa'!K74</f>
        <v>22990141</v>
      </c>
      <c r="H79" s="383"/>
    </row>
    <row r="80" spans="1:8" ht="12" customHeight="1">
      <c r="A80" s="365" t="str">
        <f>D77</f>
        <v>DA111009</v>
      </c>
      <c r="B80" s="382" t="s">
        <v>665</v>
      </c>
      <c r="C80" s="382"/>
      <c r="D80" s="382"/>
      <c r="E80" s="394" t="s">
        <v>26</v>
      </c>
      <c r="F80" s="383" t="e">
        <v>#REF!</v>
      </c>
      <c r="G80" s="383">
        <f>+'MLBSS_Receita e Despesa'!K75</f>
        <v>504705527</v>
      </c>
      <c r="H80" s="383"/>
    </row>
    <row r="81" spans="1:8" ht="12" customHeight="1">
      <c r="A81" s="365" t="str">
        <f>D77</f>
        <v>DA111009</v>
      </c>
      <c r="B81" s="382" t="s">
        <v>666</v>
      </c>
      <c r="C81" s="382"/>
      <c r="D81" s="382"/>
      <c r="E81" s="394" t="s">
        <v>28</v>
      </c>
      <c r="F81" s="383" t="e">
        <v>#REF!</v>
      </c>
      <c r="G81" s="383">
        <f>+'MLBSS_Receita e Despesa'!K76</f>
        <v>121110399</v>
      </c>
      <c r="H81" s="383"/>
    </row>
    <row r="82" spans="1:8" ht="12" customHeight="1">
      <c r="A82" s="365" t="str">
        <f>D77</f>
        <v>DA111009</v>
      </c>
      <c r="B82" s="382" t="s">
        <v>1095</v>
      </c>
      <c r="C82" s="382"/>
      <c r="D82" s="382"/>
      <c r="E82" s="391" t="s">
        <v>23</v>
      </c>
      <c r="F82" s="383" t="e">
        <v>#REF!</v>
      </c>
      <c r="G82" s="383">
        <f>+'MLBSS_Receita e Despesa'!K77</f>
        <v>271345</v>
      </c>
      <c r="H82" s="383"/>
    </row>
    <row r="83" spans="2:8" ht="12" customHeight="1">
      <c r="B83" s="382"/>
      <c r="C83" s="382"/>
      <c r="D83" s="382"/>
      <c r="E83" s="382"/>
      <c r="F83" s="383"/>
      <c r="G83" s="383"/>
      <c r="H83" s="383"/>
    </row>
    <row r="84" spans="2:9" ht="12" customHeight="1">
      <c r="B84" s="385" t="s">
        <v>1433</v>
      </c>
      <c r="C84" s="385" t="s">
        <v>1096</v>
      </c>
      <c r="D84" s="385" t="s">
        <v>1332</v>
      </c>
      <c r="E84" s="386" t="s">
        <v>477</v>
      </c>
      <c r="F84" s="387" t="e">
        <f>+F85+F89</f>
        <v>#REF!</v>
      </c>
      <c r="G84" s="387">
        <f>+G85+G89</f>
        <v>48208071</v>
      </c>
      <c r="H84" s="387"/>
      <c r="I84" s="476">
        <f>'MLBSS_Receita e Despesa'!K79-Despesa!G84</f>
        <v>0</v>
      </c>
    </row>
    <row r="85" spans="2:8" ht="12" customHeight="1">
      <c r="B85" s="382"/>
      <c r="C85" s="382"/>
      <c r="D85" s="382"/>
      <c r="E85" s="391" t="s">
        <v>92</v>
      </c>
      <c r="F85" s="383" t="e">
        <f>SUM(F86:F88)</f>
        <v>#REF!</v>
      </c>
      <c r="G85" s="383">
        <f>SUM(G86:G88)</f>
        <v>48208038</v>
      </c>
      <c r="H85" s="383"/>
    </row>
    <row r="86" spans="1:8" ht="12" customHeight="1">
      <c r="A86" s="365" t="str">
        <f>D84</f>
        <v>DA111010</v>
      </c>
      <c r="B86" s="392" t="s">
        <v>478</v>
      </c>
      <c r="C86" s="382"/>
      <c r="D86" s="382"/>
      <c r="E86" s="394" t="s">
        <v>29</v>
      </c>
      <c r="F86" s="383" t="e">
        <v>#REF!</v>
      </c>
      <c r="G86" s="383">
        <f>+'MLBSS_Receita e Despesa'!K81</f>
        <v>0</v>
      </c>
      <c r="H86" s="383"/>
    </row>
    <row r="87" spans="1:8" ht="12" customHeight="1">
      <c r="A87" s="365" t="str">
        <f>D84</f>
        <v>DA111010</v>
      </c>
      <c r="B87" s="382" t="s">
        <v>947</v>
      </c>
      <c r="C87" s="382"/>
      <c r="D87" s="382"/>
      <c r="E87" s="394" t="s">
        <v>26</v>
      </c>
      <c r="F87" s="383" t="e">
        <v>#REF!</v>
      </c>
      <c r="G87" s="383">
        <f>+'MLBSS_Receita e Despesa'!K82</f>
        <v>27769206</v>
      </c>
      <c r="H87" s="383"/>
    </row>
    <row r="88" spans="1:8" ht="12" customHeight="1">
      <c r="A88" s="365" t="str">
        <f>D84</f>
        <v>DA111010</v>
      </c>
      <c r="B88" s="382" t="s">
        <v>1406</v>
      </c>
      <c r="C88" s="382"/>
      <c r="D88" s="382"/>
      <c r="E88" s="394" t="s">
        <v>28</v>
      </c>
      <c r="F88" s="383" t="e">
        <v>#REF!</v>
      </c>
      <c r="G88" s="383">
        <f>+'MLBSS_Receita e Despesa'!K83</f>
        <v>20438832</v>
      </c>
      <c r="H88" s="383"/>
    </row>
    <row r="89" spans="1:8" ht="12" customHeight="1">
      <c r="A89" s="365" t="str">
        <f>D84</f>
        <v>DA111010</v>
      </c>
      <c r="B89" s="382" t="s">
        <v>1407</v>
      </c>
      <c r="C89" s="382"/>
      <c r="D89" s="382"/>
      <c r="E89" s="391" t="s">
        <v>23</v>
      </c>
      <c r="F89" s="383" t="e">
        <v>#REF!</v>
      </c>
      <c r="G89" s="383">
        <f>+'MLBSS_Receita e Despesa'!K84</f>
        <v>33</v>
      </c>
      <c r="H89" s="383"/>
    </row>
    <row r="90" spans="2:8" ht="12" customHeight="1">
      <c r="B90" s="382"/>
      <c r="C90" s="382"/>
      <c r="D90" s="382"/>
      <c r="E90" s="382"/>
      <c r="F90" s="383"/>
      <c r="G90" s="383"/>
      <c r="H90" s="383"/>
    </row>
    <row r="91" spans="2:9" ht="12" customHeight="1">
      <c r="B91" s="385" t="s">
        <v>1433</v>
      </c>
      <c r="C91" s="385" t="s">
        <v>1408</v>
      </c>
      <c r="D91" s="385" t="s">
        <v>229</v>
      </c>
      <c r="E91" s="386" t="s">
        <v>35</v>
      </c>
      <c r="F91" s="387" t="e">
        <f>SUM(F92:F94)</f>
        <v>#REF!</v>
      </c>
      <c r="G91" s="387">
        <f>SUM(G92:G94)</f>
        <v>14574710</v>
      </c>
      <c r="H91" s="387"/>
      <c r="I91" s="476">
        <f>G91-'MLBSS_Receita e Despesa'!K86</f>
        <v>0</v>
      </c>
    </row>
    <row r="92" spans="1:8" ht="12" customHeight="1">
      <c r="A92" s="365" t="str">
        <f>D91</f>
        <v>DA111011</v>
      </c>
      <c r="B92" s="392" t="s">
        <v>219</v>
      </c>
      <c r="C92" s="382"/>
      <c r="D92" s="382"/>
      <c r="E92" s="391" t="s">
        <v>29</v>
      </c>
      <c r="F92" s="383" t="e">
        <v>#REF!</v>
      </c>
      <c r="G92" s="383">
        <f>+'MLBSS_Receita e Despesa'!K87</f>
        <v>206517</v>
      </c>
      <c r="H92" s="383"/>
    </row>
    <row r="93" spans="1:8" ht="12" customHeight="1">
      <c r="A93" s="365" t="str">
        <f>D91</f>
        <v>DA111011</v>
      </c>
      <c r="B93" s="382" t="s">
        <v>220</v>
      </c>
      <c r="C93" s="382"/>
      <c r="D93" s="382"/>
      <c r="E93" s="391" t="s">
        <v>26</v>
      </c>
      <c r="F93" s="383" t="e">
        <v>#REF!</v>
      </c>
      <c r="G93" s="383">
        <f>+'MLBSS_Receita e Despesa'!K88</f>
        <v>9908300</v>
      </c>
      <c r="H93" s="383"/>
    </row>
    <row r="94" spans="1:8" ht="12" customHeight="1">
      <c r="A94" s="365" t="str">
        <f>D91</f>
        <v>DA111011</v>
      </c>
      <c r="B94" s="382" t="s">
        <v>632</v>
      </c>
      <c r="C94" s="382"/>
      <c r="D94" s="382"/>
      <c r="E94" s="391" t="s">
        <v>28</v>
      </c>
      <c r="F94" s="383" t="e">
        <v>#REF!</v>
      </c>
      <c r="G94" s="383">
        <f>+'MLBSS_Receita e Despesa'!K89</f>
        <v>4459893</v>
      </c>
      <c r="H94" s="383"/>
    </row>
    <row r="95" spans="2:8" ht="12" customHeight="1">
      <c r="B95" s="395"/>
      <c r="C95" s="382"/>
      <c r="D95" s="382"/>
      <c r="E95" s="395"/>
      <c r="F95" s="383"/>
      <c r="G95" s="383"/>
      <c r="H95" s="383"/>
    </row>
    <row r="96" spans="2:9" ht="12" customHeight="1">
      <c r="B96" s="385" t="s">
        <v>1433</v>
      </c>
      <c r="C96" s="385" t="s">
        <v>80</v>
      </c>
      <c r="D96" s="385" t="s">
        <v>230</v>
      </c>
      <c r="E96" s="386" t="s">
        <v>76</v>
      </c>
      <c r="F96" s="387" t="e">
        <f>SUM(F97:F99)</f>
        <v>#REF!</v>
      </c>
      <c r="G96" s="387">
        <f>SUM(G97:G99)</f>
        <v>36933168</v>
      </c>
      <c r="H96" s="387"/>
      <c r="I96" s="476">
        <f>G96-'MLBSS_Receita e Despesa'!K91</f>
        <v>0</v>
      </c>
    </row>
    <row r="97" spans="1:8" ht="12" customHeight="1">
      <c r="A97" s="365" t="str">
        <f>D96</f>
        <v>DA111012</v>
      </c>
      <c r="B97" s="395" t="s">
        <v>463</v>
      </c>
      <c r="C97" s="382"/>
      <c r="D97" s="382"/>
      <c r="E97" s="391" t="s">
        <v>29</v>
      </c>
      <c r="F97" s="383" t="e">
        <v>#REF!</v>
      </c>
      <c r="G97" s="383">
        <f>+'MLBSS_Receita e Despesa'!K92</f>
        <v>40000</v>
      </c>
      <c r="H97" s="383"/>
    </row>
    <row r="98" spans="1:8" ht="12" customHeight="1">
      <c r="A98" s="365" t="str">
        <f>D96</f>
        <v>DA111012</v>
      </c>
      <c r="B98" s="395" t="s">
        <v>464</v>
      </c>
      <c r="C98" s="382"/>
      <c r="D98" s="382"/>
      <c r="E98" s="391" t="s">
        <v>26</v>
      </c>
      <c r="F98" s="383" t="e">
        <v>#REF!</v>
      </c>
      <c r="G98" s="383">
        <f>+'MLBSS_Receita e Despesa'!K93</f>
        <v>34878164</v>
      </c>
      <c r="H98" s="383"/>
    </row>
    <row r="99" spans="1:8" ht="12" customHeight="1">
      <c r="A99" s="365" t="str">
        <f>D96</f>
        <v>DA111012</v>
      </c>
      <c r="B99" s="395" t="s">
        <v>465</v>
      </c>
      <c r="C99" s="382"/>
      <c r="D99" s="382"/>
      <c r="E99" s="391" t="s">
        <v>28</v>
      </c>
      <c r="F99" s="383" t="e">
        <v>#REF!</v>
      </c>
      <c r="G99" s="383">
        <f>+'MLBSS_Receita e Despesa'!K94</f>
        <v>2015004</v>
      </c>
      <c r="H99" s="383"/>
    </row>
    <row r="100" spans="2:8" ht="12" customHeight="1">
      <c r="B100" s="395"/>
      <c r="C100" s="382"/>
      <c r="D100" s="382"/>
      <c r="E100" s="391"/>
      <c r="F100" s="383"/>
      <c r="G100" s="383"/>
      <c r="H100" s="383"/>
    </row>
    <row r="101" spans="2:8" ht="12" customHeight="1">
      <c r="B101" s="385" t="s">
        <v>1433</v>
      </c>
      <c r="C101" s="389" t="s">
        <v>696</v>
      </c>
      <c r="D101" s="385" t="s">
        <v>1461</v>
      </c>
      <c r="E101" s="385" t="s">
        <v>239</v>
      </c>
      <c r="F101" s="383"/>
      <c r="G101" s="383"/>
      <c r="H101" s="383"/>
    </row>
    <row r="102" spans="1:9" ht="12" customHeight="1">
      <c r="A102" s="365" t="str">
        <f>D101</f>
        <v>DA111013</v>
      </c>
      <c r="B102" s="382" t="s">
        <v>77</v>
      </c>
      <c r="C102" s="382"/>
      <c r="D102" s="382"/>
      <c r="E102" s="391" t="s">
        <v>239</v>
      </c>
      <c r="F102" s="383" t="e">
        <v>#REF!</v>
      </c>
      <c r="G102" s="383">
        <f>+'MLBSS_Receita e Despesa'!K101</f>
        <v>634023613</v>
      </c>
      <c r="H102" s="383"/>
      <c r="I102" s="476">
        <f>'MLBSS_Receita e Despesa'!K101-Despesa!G102</f>
        <v>0</v>
      </c>
    </row>
    <row r="103" spans="2:8" ht="12" customHeight="1">
      <c r="B103" s="395"/>
      <c r="C103" s="382"/>
      <c r="D103" s="382"/>
      <c r="E103" s="391"/>
      <c r="F103" s="383"/>
      <c r="G103" s="383"/>
      <c r="H103" s="383"/>
    </row>
    <row r="104" spans="2:8" ht="12" customHeight="1">
      <c r="B104" s="395"/>
      <c r="C104" s="382"/>
      <c r="D104" s="382"/>
      <c r="E104" s="391"/>
      <c r="F104" s="383"/>
      <c r="G104" s="383"/>
      <c r="H104" s="383"/>
    </row>
    <row r="105" spans="2:8" ht="12" customHeight="1">
      <c r="B105" s="395"/>
      <c r="C105" s="382"/>
      <c r="D105" s="382"/>
      <c r="E105" s="381" t="s">
        <v>1266</v>
      </c>
      <c r="F105" s="383"/>
      <c r="G105" s="383"/>
      <c r="H105" s="383"/>
    </row>
    <row r="106" spans="2:8" ht="12" customHeight="1">
      <c r="B106" s="385" t="s">
        <v>1433</v>
      </c>
      <c r="C106" s="385" t="s">
        <v>467</v>
      </c>
      <c r="D106" s="385" t="s">
        <v>1458</v>
      </c>
      <c r="E106" s="386" t="s">
        <v>1551</v>
      </c>
      <c r="F106" s="383"/>
      <c r="G106" s="383"/>
      <c r="H106" s="383"/>
    </row>
    <row r="107" spans="1:9" ht="12" customHeight="1">
      <c r="A107" s="365" t="str">
        <f>D106</f>
        <v>DA121001</v>
      </c>
      <c r="B107" s="395" t="s">
        <v>1267</v>
      </c>
      <c r="C107" s="382"/>
      <c r="D107" s="382"/>
      <c r="E107" s="391" t="s">
        <v>60</v>
      </c>
      <c r="F107" s="383" t="e">
        <v>#REF!</v>
      </c>
      <c r="G107" s="383">
        <f>+'MLBSS_Receita e Despesa'!K108</f>
        <v>4343170</v>
      </c>
      <c r="H107" s="383"/>
      <c r="I107" s="476">
        <f>G107-'MLBSS_Receita e Despesa'!K106</f>
        <v>0</v>
      </c>
    </row>
    <row r="108" spans="2:8" ht="12" customHeight="1">
      <c r="B108" s="396"/>
      <c r="C108" s="397"/>
      <c r="D108" s="397"/>
      <c r="E108" s="398"/>
      <c r="F108" s="399"/>
      <c r="G108" s="399"/>
      <c r="H108" s="399"/>
    </row>
    <row r="109" spans="1:8" s="384" customFormat="1" ht="12" customHeight="1">
      <c r="A109" s="365"/>
      <c r="B109" s="400"/>
      <c r="C109" s="401"/>
      <c r="D109" s="401"/>
      <c r="E109" s="400" t="s">
        <v>920</v>
      </c>
      <c r="F109" s="402" t="e">
        <f>+F11+F16+F18+F23+F30+F36+F44+F67+F77+F84+F91+F96+F102+F107</f>
        <v>#REF!</v>
      </c>
      <c r="G109" s="402" t="e">
        <f>+G11+G16+G18+G23+G30+G36+G44+G67+G77+G84+G91+G96+G102+G107</f>
        <v>#REF!</v>
      </c>
      <c r="H109" s="402"/>
    </row>
    <row r="110" spans="2:8" ht="12" customHeight="1">
      <c r="B110" s="369" t="s">
        <v>462</v>
      </c>
      <c r="C110" s="370"/>
      <c r="D110" s="370"/>
      <c r="E110" s="369"/>
      <c r="F110" s="403" t="e">
        <v>#REF!</v>
      </c>
      <c r="G110" s="403" t="e">
        <f>+'MLBSS_Receita e Despesa'!K118-G109</f>
        <v>#REF!</v>
      </c>
      <c r="H110" s="403">
        <f>'MLBSS_Receita e Despesa'!K103+'MLBSS_Receita e Despesa'!K104</f>
        <v>77701587</v>
      </c>
    </row>
    <row r="111" spans="2:8" ht="12" customHeight="1">
      <c r="B111" s="371"/>
      <c r="E111" s="404"/>
      <c r="F111" s="404"/>
      <c r="G111" s="521"/>
      <c r="H111" s="521">
        <f>+'MLBSS_Receita e Despesa'!K103+'MLBSS_Receita e Despesa'!K104</f>
        <v>77701587</v>
      </c>
    </row>
    <row r="112" spans="2:8" ht="12" customHeight="1">
      <c r="B112" s="373" t="s">
        <v>1360</v>
      </c>
      <c r="C112" s="374"/>
      <c r="D112" s="374"/>
      <c r="E112" s="373"/>
      <c r="F112" s="373" t="s">
        <v>1361</v>
      </c>
      <c r="G112" s="373" t="s">
        <v>1361</v>
      </c>
      <c r="H112" s="373"/>
    </row>
    <row r="113" spans="2:8" ht="12" customHeight="1">
      <c r="B113" s="375" t="s">
        <v>1362</v>
      </c>
      <c r="C113" s="376" t="s">
        <v>1363</v>
      </c>
      <c r="D113" s="376" t="s">
        <v>831</v>
      </c>
      <c r="E113" s="375" t="s">
        <v>1080</v>
      </c>
      <c r="F113" s="375">
        <v>2008</v>
      </c>
      <c r="G113" s="375">
        <v>2008</v>
      </c>
      <c r="H113" s="375" t="s">
        <v>1496</v>
      </c>
    </row>
    <row r="114" spans="2:8" ht="12" customHeight="1">
      <c r="B114" s="377" t="s">
        <v>832</v>
      </c>
      <c r="C114" s="378"/>
      <c r="D114" s="378"/>
      <c r="E114" s="377"/>
      <c r="F114" s="377" t="s">
        <v>1098</v>
      </c>
      <c r="G114" s="377" t="s">
        <v>833</v>
      </c>
      <c r="H114" s="377"/>
    </row>
    <row r="115" spans="2:8" ht="12" customHeight="1">
      <c r="B115" s="382"/>
      <c r="C115" s="382"/>
      <c r="D115" s="382"/>
      <c r="E115" s="405"/>
      <c r="F115" s="383"/>
      <c r="G115" s="383"/>
      <c r="H115" s="383"/>
    </row>
    <row r="116" spans="2:8" ht="12" customHeight="1">
      <c r="B116" s="381"/>
      <c r="C116" s="382"/>
      <c r="D116" s="382"/>
      <c r="E116" s="381" t="s">
        <v>1291</v>
      </c>
      <c r="F116" s="383"/>
      <c r="G116" s="383"/>
      <c r="H116" s="383"/>
    </row>
    <row r="117" spans="2:8" ht="12" customHeight="1">
      <c r="B117" s="381"/>
      <c r="C117" s="382"/>
      <c r="D117" s="382"/>
      <c r="E117" s="381"/>
      <c r="F117" s="383"/>
      <c r="G117" s="383"/>
      <c r="H117" s="383"/>
    </row>
    <row r="118" spans="2:8" ht="12" customHeight="1">
      <c r="B118" s="385" t="s">
        <v>1433</v>
      </c>
      <c r="C118" s="385" t="s">
        <v>470</v>
      </c>
      <c r="D118" s="385" t="s">
        <v>1459</v>
      </c>
      <c r="E118" s="381" t="s">
        <v>1225</v>
      </c>
      <c r="F118" s="387" t="e">
        <f>+F120+F127+F134</f>
        <v>#REF!</v>
      </c>
      <c r="G118" s="387">
        <f>+G120+G127+G134</f>
        <v>1200928672</v>
      </c>
      <c r="H118" s="387"/>
    </row>
    <row r="119" spans="2:8" ht="12" customHeight="1">
      <c r="B119" s="391"/>
      <c r="C119" s="382"/>
      <c r="D119" s="382"/>
      <c r="E119" s="381"/>
      <c r="F119" s="383"/>
      <c r="G119" s="383"/>
      <c r="H119" s="383"/>
    </row>
    <row r="120" spans="2:8" ht="12" customHeight="1">
      <c r="B120" s="391"/>
      <c r="C120" s="382"/>
      <c r="D120" s="382"/>
      <c r="E120" s="386" t="s">
        <v>1416</v>
      </c>
      <c r="F120" s="383" t="e">
        <f>+F121+F122+F123</f>
        <v>#REF!</v>
      </c>
      <c r="G120" s="383">
        <f>+G121+G122+G123</f>
        <v>694891725</v>
      </c>
      <c r="H120" s="383"/>
    </row>
    <row r="121" spans="1:8" ht="12" customHeight="1">
      <c r="A121" s="365" t="str">
        <f>D118</f>
        <v>DA112001</v>
      </c>
      <c r="B121" s="382" t="s">
        <v>932</v>
      </c>
      <c r="C121" s="382"/>
      <c r="D121" s="382"/>
      <c r="E121" s="394" t="s">
        <v>654</v>
      </c>
      <c r="F121" s="383" t="e">
        <v>#REF!</v>
      </c>
      <c r="G121" s="383">
        <f>+'MLBSS_Receita e Despesa'!K147</f>
        <v>681771301</v>
      </c>
      <c r="H121" s="383"/>
    </row>
    <row r="122" spans="1:8" ht="12" customHeight="1">
      <c r="A122" s="365" t="str">
        <f>D118</f>
        <v>DA112001</v>
      </c>
      <c r="B122" s="382" t="s">
        <v>655</v>
      </c>
      <c r="C122" s="382"/>
      <c r="D122" s="382"/>
      <c r="E122" s="394" t="s">
        <v>1418</v>
      </c>
      <c r="F122" s="383" t="e">
        <v>#REF!</v>
      </c>
      <c r="G122" s="383">
        <f>+'MLBSS_Receita e Despesa'!K148</f>
        <v>3638667</v>
      </c>
      <c r="H122" s="383"/>
    </row>
    <row r="123" spans="2:8" ht="12" customHeight="1">
      <c r="B123" s="382"/>
      <c r="C123" s="382"/>
      <c r="D123" s="382"/>
      <c r="E123" s="391" t="s">
        <v>768</v>
      </c>
      <c r="F123" s="383" t="e">
        <f>+F124+F125</f>
        <v>#REF!</v>
      </c>
      <c r="G123" s="383">
        <f>+G124+G125</f>
        <v>9481757</v>
      </c>
      <c r="H123" s="383"/>
    </row>
    <row r="124" spans="1:8" ht="12" customHeight="1">
      <c r="A124" s="365" t="str">
        <f>D118</f>
        <v>DA112001</v>
      </c>
      <c r="B124" s="382" t="s">
        <v>1168</v>
      </c>
      <c r="C124" s="382"/>
      <c r="D124" s="382"/>
      <c r="E124" s="394" t="s">
        <v>29</v>
      </c>
      <c r="F124" s="383" t="e">
        <v>#REF!</v>
      </c>
      <c r="G124" s="383">
        <f>+'MLBSS_Receita e Despesa'!K150</f>
        <v>454025</v>
      </c>
      <c r="H124" s="383"/>
    </row>
    <row r="125" spans="1:8" ht="12" customHeight="1">
      <c r="A125" s="365" t="str">
        <f>D118</f>
        <v>DA112001</v>
      </c>
      <c r="B125" s="382" t="s">
        <v>1169</v>
      </c>
      <c r="C125" s="382"/>
      <c r="D125" s="382"/>
      <c r="E125" s="394" t="s">
        <v>26</v>
      </c>
      <c r="F125" s="383" t="e">
        <v>#REF!</v>
      </c>
      <c r="G125" s="383">
        <f>+'MLBSS_Receita e Despesa'!K151</f>
        <v>9027732</v>
      </c>
      <c r="H125" s="383"/>
    </row>
    <row r="126" spans="2:8" ht="12" customHeight="1">
      <c r="B126" s="382"/>
      <c r="C126" s="382"/>
      <c r="D126" s="382"/>
      <c r="E126" s="394"/>
      <c r="F126" s="383"/>
      <c r="G126" s="383"/>
      <c r="H126" s="383"/>
    </row>
    <row r="127" spans="2:8" ht="12" customHeight="1">
      <c r="B127" s="386"/>
      <c r="C127" s="382"/>
      <c r="D127" s="382"/>
      <c r="E127" s="406" t="s">
        <v>806</v>
      </c>
      <c r="F127" s="383" t="e">
        <f>SUM(F128:F132)</f>
        <v>#REF!</v>
      </c>
      <c r="G127" s="383">
        <f>SUM(G128:G132)</f>
        <v>140821516</v>
      </c>
      <c r="H127" s="383"/>
    </row>
    <row r="128" spans="1:8" ht="12" customHeight="1">
      <c r="A128" s="365" t="str">
        <f>D118</f>
        <v>DA112001</v>
      </c>
      <c r="B128" s="382" t="s">
        <v>800</v>
      </c>
      <c r="C128" s="382"/>
      <c r="D128" s="382"/>
      <c r="E128" s="394" t="s">
        <v>578</v>
      </c>
      <c r="F128" s="383" t="e">
        <v>#REF!</v>
      </c>
      <c r="G128" s="383">
        <f>+'MLBSS_Receita e Despesa'!K154</f>
        <v>72842287</v>
      </c>
      <c r="H128" s="383"/>
    </row>
    <row r="129" spans="1:8" ht="12" customHeight="1">
      <c r="A129" s="365" t="str">
        <f>D118</f>
        <v>DA112001</v>
      </c>
      <c r="B129" s="382" t="s">
        <v>801</v>
      </c>
      <c r="C129" s="382"/>
      <c r="D129" s="382"/>
      <c r="E129" s="394" t="s">
        <v>1102</v>
      </c>
      <c r="F129" s="383" t="e">
        <v>#REF!</v>
      </c>
      <c r="G129" s="383">
        <f>+'MLBSS_Receita e Despesa'!K155</f>
        <v>24143690</v>
      </c>
      <c r="H129" s="383"/>
    </row>
    <row r="130" spans="1:8" ht="12" customHeight="1">
      <c r="A130" s="365" t="str">
        <f>D118</f>
        <v>DA112001</v>
      </c>
      <c r="B130" s="382" t="s">
        <v>323</v>
      </c>
      <c r="C130" s="382"/>
      <c r="D130" s="382"/>
      <c r="E130" s="394" t="s">
        <v>1103</v>
      </c>
      <c r="F130" s="383" t="e">
        <v>#REF!</v>
      </c>
      <c r="G130" s="383">
        <f>+'MLBSS_Receita e Despesa'!K156</f>
        <v>9863245</v>
      </c>
      <c r="H130" s="383"/>
    </row>
    <row r="131" spans="1:8" ht="12" customHeight="1">
      <c r="A131" s="365" t="str">
        <f>D118</f>
        <v>DA112001</v>
      </c>
      <c r="B131" s="382" t="s">
        <v>324</v>
      </c>
      <c r="C131" s="382"/>
      <c r="D131" s="382"/>
      <c r="E131" s="394" t="s">
        <v>1294</v>
      </c>
      <c r="F131" s="383" t="e">
        <v>#REF!</v>
      </c>
      <c r="G131" s="383">
        <f>+'MLBSS_Receita e Despesa'!K157</f>
        <v>4068196</v>
      </c>
      <c r="H131" s="383"/>
    </row>
    <row r="132" spans="1:8" ht="12" customHeight="1">
      <c r="A132" s="365" t="str">
        <f>D118</f>
        <v>DA112001</v>
      </c>
      <c r="B132" s="382" t="s">
        <v>1536</v>
      </c>
      <c r="C132" s="382"/>
      <c r="D132" s="382"/>
      <c r="E132" s="394" t="s">
        <v>1148</v>
      </c>
      <c r="F132" s="383" t="e">
        <v>#REF!</v>
      </c>
      <c r="G132" s="383">
        <f>+'MLBSS_Receita e Despesa'!K158</f>
        <v>29904098</v>
      </c>
      <c r="H132" s="383"/>
    </row>
    <row r="133" spans="2:8" ht="12" customHeight="1">
      <c r="B133" s="391"/>
      <c r="C133" s="382"/>
      <c r="D133" s="382"/>
      <c r="E133" s="395"/>
      <c r="F133" s="383"/>
      <c r="G133" s="383"/>
      <c r="H133" s="383"/>
    </row>
    <row r="134" spans="2:8" ht="12" customHeight="1">
      <c r="B134" s="391"/>
      <c r="C134" s="382"/>
      <c r="D134" s="382"/>
      <c r="E134" s="406" t="s">
        <v>156</v>
      </c>
      <c r="F134" s="383" t="e">
        <f>SUM(F136:F138)</f>
        <v>#REF!</v>
      </c>
      <c r="G134" s="383">
        <f>SUM(G136:G138)</f>
        <v>365215431</v>
      </c>
      <c r="H134" s="383"/>
    </row>
    <row r="135" spans="2:8" ht="12" customHeight="1">
      <c r="B135" s="391"/>
      <c r="C135" s="382"/>
      <c r="D135" s="382"/>
      <c r="E135" s="394" t="s">
        <v>157</v>
      </c>
      <c r="F135" s="383"/>
      <c r="G135" s="383"/>
      <c r="H135" s="383"/>
    </row>
    <row r="136" spans="1:8" ht="12" customHeight="1">
      <c r="A136" s="365" t="str">
        <f>D118</f>
        <v>DA112001</v>
      </c>
      <c r="B136" s="382" t="s">
        <v>1537</v>
      </c>
      <c r="C136" s="382"/>
      <c r="D136" s="382"/>
      <c r="E136" s="407" t="s">
        <v>29</v>
      </c>
      <c r="F136" s="383" t="e">
        <v>#REF!</v>
      </c>
      <c r="G136" s="383">
        <f>+'MLBSS_Receita e Despesa'!K162</f>
        <v>57085381</v>
      </c>
      <c r="H136" s="383"/>
    </row>
    <row r="137" spans="1:8" ht="12" customHeight="1">
      <c r="A137" s="365" t="str">
        <f>D118</f>
        <v>DA112001</v>
      </c>
      <c r="B137" s="382" t="s">
        <v>1538</v>
      </c>
      <c r="C137" s="382"/>
      <c r="D137" s="382"/>
      <c r="E137" s="407" t="s">
        <v>26</v>
      </c>
      <c r="F137" s="383" t="e">
        <v>#REF!</v>
      </c>
      <c r="G137" s="383">
        <f>+'MLBSS_Receita e Despesa'!K163</f>
        <v>278984023</v>
      </c>
      <c r="H137" s="383"/>
    </row>
    <row r="138" spans="1:8" ht="12" customHeight="1">
      <c r="A138" s="365" t="str">
        <f>D118</f>
        <v>DA112001</v>
      </c>
      <c r="B138" s="382" t="s">
        <v>1539</v>
      </c>
      <c r="C138" s="382"/>
      <c r="D138" s="382"/>
      <c r="E138" s="407" t="s">
        <v>28</v>
      </c>
      <c r="F138" s="383" t="e">
        <v>#REF!</v>
      </c>
      <c r="G138" s="383">
        <f>+'MLBSS_Receita e Despesa'!K164</f>
        <v>29146027</v>
      </c>
      <c r="H138" s="383"/>
    </row>
    <row r="139" spans="2:8" ht="12" customHeight="1">
      <c r="B139" s="408"/>
      <c r="C139" s="380"/>
      <c r="D139" s="380"/>
      <c r="E139" s="375"/>
      <c r="F139" s="383"/>
      <c r="G139" s="383"/>
      <c r="H139" s="383"/>
    </row>
    <row r="140" spans="2:8" ht="12" customHeight="1">
      <c r="B140" s="385" t="s">
        <v>1433</v>
      </c>
      <c r="C140" s="389" t="s">
        <v>594</v>
      </c>
      <c r="D140" s="385" t="s">
        <v>814</v>
      </c>
      <c r="E140" s="386" t="s">
        <v>391</v>
      </c>
      <c r="F140" s="387" t="e">
        <f>+F142+F144+F151</f>
        <v>#REF!</v>
      </c>
      <c r="G140" s="387">
        <f>+G142+G144+G151</f>
        <v>198500</v>
      </c>
      <c r="H140" s="387"/>
    </row>
    <row r="141" spans="2:8" ht="12" customHeight="1">
      <c r="B141" s="409"/>
      <c r="C141" s="382"/>
      <c r="D141" s="382"/>
      <c r="E141" s="406" t="s">
        <v>107</v>
      </c>
      <c r="F141" s="383"/>
      <c r="G141" s="383"/>
      <c r="H141" s="383"/>
    </row>
    <row r="142" spans="1:8" ht="12" customHeight="1">
      <c r="A142" s="365" t="str">
        <f>D140</f>
        <v>DA112002</v>
      </c>
      <c r="B142" s="395" t="s">
        <v>1268</v>
      </c>
      <c r="C142" s="382"/>
      <c r="D142" s="382"/>
      <c r="E142" s="394" t="s">
        <v>1559</v>
      </c>
      <c r="F142" s="383" t="e">
        <v>#REF!</v>
      </c>
      <c r="G142" s="383">
        <f>+'MLBSS_Receita e Despesa'!K168</f>
        <v>51500</v>
      </c>
      <c r="H142" s="383"/>
    </row>
    <row r="143" spans="2:8" ht="12" customHeight="1">
      <c r="B143" s="395"/>
      <c r="C143" s="382"/>
      <c r="D143" s="382"/>
      <c r="E143" s="410"/>
      <c r="F143" s="383"/>
      <c r="G143" s="383"/>
      <c r="H143" s="383"/>
    </row>
    <row r="144" spans="2:8" ht="12" customHeight="1">
      <c r="B144" s="395"/>
      <c r="C144" s="382"/>
      <c r="D144" s="382"/>
      <c r="E144" s="406" t="s">
        <v>806</v>
      </c>
      <c r="F144" s="383" t="e">
        <f>SUM(F145:F149)</f>
        <v>#REF!</v>
      </c>
      <c r="G144" s="383">
        <f>SUM(G145:G149)</f>
        <v>147000</v>
      </c>
      <c r="H144" s="383"/>
    </row>
    <row r="145" spans="1:8" ht="12" customHeight="1">
      <c r="A145" s="365" t="str">
        <f>D140</f>
        <v>DA112002</v>
      </c>
      <c r="B145" s="395" t="s">
        <v>148</v>
      </c>
      <c r="C145" s="382"/>
      <c r="D145" s="382"/>
      <c r="E145" s="394" t="s">
        <v>578</v>
      </c>
      <c r="F145" s="383" t="e">
        <v>#REF!</v>
      </c>
      <c r="G145" s="383">
        <f>+'MLBSS_Receita e Despesa'!K170</f>
        <v>46000</v>
      </c>
      <c r="H145" s="383"/>
    </row>
    <row r="146" spans="1:8" ht="12" customHeight="1">
      <c r="A146" s="365" t="str">
        <f>D140</f>
        <v>DA112002</v>
      </c>
      <c r="B146" s="395" t="s">
        <v>149</v>
      </c>
      <c r="C146" s="382"/>
      <c r="D146" s="382"/>
      <c r="E146" s="394" t="s">
        <v>108</v>
      </c>
      <c r="F146" s="383" t="e">
        <v>#REF!</v>
      </c>
      <c r="G146" s="383">
        <f>+'MLBSS_Receita e Despesa'!K171</f>
        <v>50500</v>
      </c>
      <c r="H146" s="383"/>
    </row>
    <row r="147" spans="1:8" ht="12" customHeight="1">
      <c r="A147" s="365" t="str">
        <f>D140</f>
        <v>DA112002</v>
      </c>
      <c r="B147" s="395" t="s">
        <v>150</v>
      </c>
      <c r="C147" s="382"/>
      <c r="D147" s="382"/>
      <c r="E147" s="394" t="s">
        <v>874</v>
      </c>
      <c r="F147" s="383" t="e">
        <v>#REF!</v>
      </c>
      <c r="G147" s="383">
        <f>+'MLBSS_Receita e Despesa'!K172</f>
        <v>15000</v>
      </c>
      <c r="H147" s="383"/>
    </row>
    <row r="148" spans="1:8" ht="12" customHeight="1">
      <c r="A148" s="365" t="str">
        <f>D140</f>
        <v>DA112002</v>
      </c>
      <c r="B148" s="395" t="s">
        <v>1065</v>
      </c>
      <c r="C148" s="382"/>
      <c r="D148" s="382"/>
      <c r="E148" s="394" t="s">
        <v>778</v>
      </c>
      <c r="F148" s="383" t="e">
        <v>#REF!</v>
      </c>
      <c r="G148" s="383">
        <f>+'MLBSS_Receita e Despesa'!K173</f>
        <v>26500</v>
      </c>
      <c r="H148" s="383"/>
    </row>
    <row r="149" spans="1:8" ht="12" customHeight="1">
      <c r="A149" s="365" t="str">
        <f>D140</f>
        <v>DA112002</v>
      </c>
      <c r="B149" s="395" t="s">
        <v>1170</v>
      </c>
      <c r="C149" s="382"/>
      <c r="D149" s="382"/>
      <c r="E149" s="394" t="s">
        <v>780</v>
      </c>
      <c r="F149" s="383" t="e">
        <v>#REF!</v>
      </c>
      <c r="G149" s="383">
        <f>+'MLBSS_Receita e Despesa'!K174</f>
        <v>9000</v>
      </c>
      <c r="H149" s="383"/>
    </row>
    <row r="150" spans="2:8" ht="12" customHeight="1">
      <c r="B150" s="395"/>
      <c r="C150" s="382"/>
      <c r="D150" s="382"/>
      <c r="E150" s="392"/>
      <c r="F150" s="383"/>
      <c r="G150" s="383"/>
      <c r="H150" s="383"/>
    </row>
    <row r="151" spans="2:8" ht="12" customHeight="1">
      <c r="B151" s="395"/>
      <c r="C151" s="382"/>
      <c r="D151" s="382"/>
      <c r="E151" s="406" t="s">
        <v>156</v>
      </c>
      <c r="F151" s="383" t="e">
        <f>SUM(F153:F155)</f>
        <v>#REF!</v>
      </c>
      <c r="G151" s="383">
        <f>SUM(G153:G155)</f>
        <v>0</v>
      </c>
      <c r="H151" s="383"/>
    </row>
    <row r="152" spans="2:8" ht="12" customHeight="1">
      <c r="B152" s="395"/>
      <c r="C152" s="382"/>
      <c r="D152" s="382"/>
      <c r="E152" s="394" t="s">
        <v>109</v>
      </c>
      <c r="F152" s="383"/>
      <c r="G152" s="383"/>
      <c r="H152" s="383"/>
    </row>
    <row r="153" spans="1:8" ht="12" customHeight="1">
      <c r="A153" s="365" t="str">
        <f>D140</f>
        <v>DA112002</v>
      </c>
      <c r="B153" s="395" t="s">
        <v>5</v>
      </c>
      <c r="C153" s="382"/>
      <c r="D153" s="382"/>
      <c r="E153" s="411" t="s">
        <v>29</v>
      </c>
      <c r="F153" s="383" t="e">
        <v>#REF!</v>
      </c>
      <c r="G153" s="383">
        <f>+'MLBSS_Receita e Despesa'!K178</f>
        <v>0</v>
      </c>
      <c r="H153" s="383"/>
    </row>
    <row r="154" spans="1:8" ht="12" customHeight="1">
      <c r="A154" s="365" t="str">
        <f>D140</f>
        <v>DA112002</v>
      </c>
      <c r="B154" s="395" t="s">
        <v>6</v>
      </c>
      <c r="C154" s="382"/>
      <c r="D154" s="382"/>
      <c r="E154" s="407" t="s">
        <v>26</v>
      </c>
      <c r="F154" s="383" t="e">
        <v>#REF!</v>
      </c>
      <c r="G154" s="383">
        <f>+'MLBSS_Receita e Despesa'!K179</f>
        <v>0</v>
      </c>
      <c r="H154" s="383"/>
    </row>
    <row r="155" spans="1:8" ht="12" customHeight="1">
      <c r="A155" s="365" t="str">
        <f>D140</f>
        <v>DA112002</v>
      </c>
      <c r="B155" s="395" t="s">
        <v>1366</v>
      </c>
      <c r="C155" s="382"/>
      <c r="D155" s="382"/>
      <c r="E155" s="407" t="s">
        <v>28</v>
      </c>
      <c r="F155" s="383" t="e">
        <v>#REF!</v>
      </c>
      <c r="G155" s="383">
        <f>+'MLBSS_Receita e Despesa'!K180</f>
        <v>0</v>
      </c>
      <c r="H155" s="383"/>
    </row>
    <row r="156" spans="2:8" ht="12" customHeight="1">
      <c r="B156" s="395"/>
      <c r="C156" s="393"/>
      <c r="D156" s="393"/>
      <c r="E156" s="392"/>
      <c r="F156" s="383"/>
      <c r="G156" s="383"/>
      <c r="H156" s="383"/>
    </row>
    <row r="157" spans="2:8" ht="12" customHeight="1">
      <c r="B157" s="385" t="s">
        <v>1433</v>
      </c>
      <c r="C157" s="389" t="s">
        <v>1147</v>
      </c>
      <c r="D157" s="385" t="s">
        <v>815</v>
      </c>
      <c r="E157" s="386" t="s">
        <v>1498</v>
      </c>
      <c r="F157" s="387" t="e">
        <f>+F159+F160+F162+F169</f>
        <v>#REF!</v>
      </c>
      <c r="G157" s="387">
        <f>+G159+G160+G162+G169</f>
        <v>0</v>
      </c>
      <c r="H157" s="387"/>
    </row>
    <row r="158" spans="2:8" ht="12" customHeight="1">
      <c r="B158" s="395"/>
      <c r="C158" s="382"/>
      <c r="D158" s="382"/>
      <c r="E158" s="406" t="s">
        <v>107</v>
      </c>
      <c r="F158" s="383"/>
      <c r="G158" s="383"/>
      <c r="H158" s="383"/>
    </row>
    <row r="159" spans="1:8" ht="12" customHeight="1">
      <c r="A159" s="365" t="str">
        <f>D157</f>
        <v>DA112003</v>
      </c>
      <c r="B159" s="395" t="s">
        <v>1367</v>
      </c>
      <c r="C159" s="382"/>
      <c r="D159" s="382"/>
      <c r="E159" s="394" t="s">
        <v>260</v>
      </c>
      <c r="F159" s="383" t="e">
        <v>#REF!</v>
      </c>
      <c r="G159" s="383">
        <f>+'MLBSS_Receita e Despesa'!K184</f>
        <v>0</v>
      </c>
      <c r="H159" s="383"/>
    </row>
    <row r="160" spans="1:8" ht="12" customHeight="1">
      <c r="A160" s="365" t="str">
        <f>D157</f>
        <v>DA112003</v>
      </c>
      <c r="B160" s="395" t="s">
        <v>1368</v>
      </c>
      <c r="C160" s="382"/>
      <c r="D160" s="382"/>
      <c r="E160" s="394" t="s">
        <v>1418</v>
      </c>
      <c r="F160" s="383" t="e">
        <v>#REF!</v>
      </c>
      <c r="G160" s="383">
        <f>+'MLBSS_Receita e Despesa'!K185</f>
        <v>0</v>
      </c>
      <c r="H160" s="383"/>
    </row>
    <row r="161" spans="2:8" ht="12" customHeight="1">
      <c r="B161" s="395"/>
      <c r="C161" s="382"/>
      <c r="D161" s="382"/>
      <c r="E161" s="394"/>
      <c r="F161" s="383"/>
      <c r="G161" s="383"/>
      <c r="H161" s="383"/>
    </row>
    <row r="162" spans="2:8" ht="12" customHeight="1">
      <c r="B162" s="395"/>
      <c r="C162" s="382"/>
      <c r="D162" s="382"/>
      <c r="E162" s="406" t="s">
        <v>806</v>
      </c>
      <c r="F162" s="383" t="e">
        <f>SUM(F163:F167)</f>
        <v>#REF!</v>
      </c>
      <c r="G162" s="383">
        <f>SUM(G163:G167)</f>
        <v>0</v>
      </c>
      <c r="H162" s="383"/>
    </row>
    <row r="163" spans="1:8" ht="12" customHeight="1">
      <c r="A163" s="365" t="str">
        <f>D157</f>
        <v>DA112003</v>
      </c>
      <c r="B163" s="395" t="s">
        <v>1369</v>
      </c>
      <c r="C163" s="382"/>
      <c r="D163" s="382"/>
      <c r="E163" s="394" t="s">
        <v>578</v>
      </c>
      <c r="F163" s="383" t="e">
        <v>#REF!</v>
      </c>
      <c r="G163" s="383">
        <f>+'MLBSS_Receita e Despesa'!K187</f>
        <v>0</v>
      </c>
      <c r="H163" s="383"/>
    </row>
    <row r="164" spans="1:8" ht="12" customHeight="1">
      <c r="A164" s="365" t="str">
        <f>D157</f>
        <v>DA112003</v>
      </c>
      <c r="B164" s="395" t="s">
        <v>1370</v>
      </c>
      <c r="C164" s="382"/>
      <c r="D164" s="382"/>
      <c r="E164" s="394" t="s">
        <v>108</v>
      </c>
      <c r="F164" s="383" t="e">
        <v>#REF!</v>
      </c>
      <c r="G164" s="383">
        <f>+'MLBSS_Receita e Despesa'!K188</f>
        <v>0</v>
      </c>
      <c r="H164" s="383"/>
    </row>
    <row r="165" spans="1:8" ht="12" customHeight="1">
      <c r="A165" s="365" t="str">
        <f>D157</f>
        <v>DA112003</v>
      </c>
      <c r="B165" s="395" t="s">
        <v>1443</v>
      </c>
      <c r="C165" s="382"/>
      <c r="D165" s="382"/>
      <c r="E165" s="394" t="s">
        <v>1148</v>
      </c>
      <c r="F165" s="383" t="e">
        <v>#REF!</v>
      </c>
      <c r="G165" s="383">
        <f>+'MLBSS_Receita e Despesa'!K189</f>
        <v>0</v>
      </c>
      <c r="H165" s="383"/>
    </row>
    <row r="166" spans="1:8" ht="12" customHeight="1">
      <c r="A166" s="365" t="str">
        <f>D157</f>
        <v>DA112003</v>
      </c>
      <c r="B166" s="395" t="s">
        <v>1444</v>
      </c>
      <c r="C166" s="382"/>
      <c r="D166" s="382"/>
      <c r="E166" s="394" t="s">
        <v>1103</v>
      </c>
      <c r="F166" s="383" t="e">
        <v>#REF!</v>
      </c>
      <c r="G166" s="383">
        <f>+'MLBSS_Receita e Despesa'!K190</f>
        <v>0</v>
      </c>
      <c r="H166" s="383"/>
    </row>
    <row r="167" spans="1:8" ht="12" customHeight="1">
      <c r="A167" s="365" t="str">
        <f>D157</f>
        <v>DA112003</v>
      </c>
      <c r="B167" s="395" t="s">
        <v>1445</v>
      </c>
      <c r="C167" s="382"/>
      <c r="D167" s="382"/>
      <c r="E167" s="394" t="s">
        <v>1294</v>
      </c>
      <c r="F167" s="383" t="e">
        <v>#REF!</v>
      </c>
      <c r="G167" s="383">
        <f>+'MLBSS_Receita e Despesa'!K191</f>
        <v>0</v>
      </c>
      <c r="H167" s="383"/>
    </row>
    <row r="168" spans="2:8" ht="12" customHeight="1">
      <c r="B168" s="395"/>
      <c r="C168" s="382"/>
      <c r="D168" s="382"/>
      <c r="E168" s="392"/>
      <c r="F168" s="383"/>
      <c r="G168" s="383"/>
      <c r="H168" s="383"/>
    </row>
    <row r="169" spans="2:8" ht="12" customHeight="1">
      <c r="B169" s="395"/>
      <c r="C169" s="382"/>
      <c r="D169" s="382"/>
      <c r="E169" s="406" t="s">
        <v>156</v>
      </c>
      <c r="F169" s="383" t="e">
        <f>SUM(F171:F173)</f>
        <v>#REF!</v>
      </c>
      <c r="G169" s="383">
        <f>SUM(G171:G173)</f>
        <v>0</v>
      </c>
      <c r="H169" s="383"/>
    </row>
    <row r="170" spans="2:8" ht="12" customHeight="1">
      <c r="B170" s="395"/>
      <c r="C170" s="382"/>
      <c r="D170" s="382"/>
      <c r="E170" s="391" t="s">
        <v>109</v>
      </c>
      <c r="F170" s="383"/>
      <c r="G170" s="383"/>
      <c r="H170" s="383"/>
    </row>
    <row r="171" spans="1:8" ht="12" customHeight="1">
      <c r="A171" s="365" t="str">
        <f>D157</f>
        <v>DA112003</v>
      </c>
      <c r="B171" s="395" t="s">
        <v>1446</v>
      </c>
      <c r="C171" s="382"/>
      <c r="D171" s="382"/>
      <c r="E171" s="394" t="s">
        <v>29</v>
      </c>
      <c r="F171" s="383" t="e">
        <v>#REF!</v>
      </c>
      <c r="G171" s="383">
        <f>+'MLBSS_Receita e Despesa'!K195</f>
        <v>0</v>
      </c>
      <c r="H171" s="383"/>
    </row>
    <row r="172" spans="1:8" ht="12" customHeight="1">
      <c r="A172" s="365" t="str">
        <f>D157</f>
        <v>DA112003</v>
      </c>
      <c r="B172" s="395" t="s">
        <v>1510</v>
      </c>
      <c r="C172" s="382"/>
      <c r="D172" s="382"/>
      <c r="E172" s="394" t="s">
        <v>26</v>
      </c>
      <c r="F172" s="383" t="e">
        <v>#REF!</v>
      </c>
      <c r="G172" s="383">
        <f>+'MLBSS_Receita e Despesa'!K196</f>
        <v>0</v>
      </c>
      <c r="H172" s="383"/>
    </row>
    <row r="173" spans="1:8" ht="12" customHeight="1">
      <c r="A173" s="365" t="str">
        <f>D157</f>
        <v>DA112003</v>
      </c>
      <c r="B173" s="395" t="s">
        <v>1511</v>
      </c>
      <c r="C173" s="382"/>
      <c r="D173" s="382"/>
      <c r="E173" s="394" t="s">
        <v>28</v>
      </c>
      <c r="F173" s="383" t="e">
        <v>#REF!</v>
      </c>
      <c r="G173" s="383">
        <f>+'MLBSS_Receita e Despesa'!K197</f>
        <v>0</v>
      </c>
      <c r="H173" s="383"/>
    </row>
    <row r="174" spans="2:8" ht="12" customHeight="1">
      <c r="B174" s="395"/>
      <c r="C174" s="382"/>
      <c r="D174" s="382"/>
      <c r="E174" s="392"/>
      <c r="F174" s="383"/>
      <c r="G174" s="383"/>
      <c r="H174" s="383"/>
    </row>
    <row r="175" spans="2:8" ht="12" customHeight="1">
      <c r="B175" s="385" t="s">
        <v>1433</v>
      </c>
      <c r="C175" s="389" t="s">
        <v>942</v>
      </c>
      <c r="D175" s="385" t="s">
        <v>816</v>
      </c>
      <c r="E175" s="386" t="s">
        <v>663</v>
      </c>
      <c r="F175" s="387" t="e">
        <f>+F177+F179</f>
        <v>#REF!</v>
      </c>
      <c r="G175" s="387">
        <f>+G177+G179</f>
        <v>0</v>
      </c>
      <c r="H175" s="387"/>
    </row>
    <row r="176" spans="2:8" ht="12" customHeight="1">
      <c r="B176" s="395"/>
      <c r="C176" s="382"/>
      <c r="D176" s="382"/>
      <c r="E176" s="406" t="s">
        <v>107</v>
      </c>
      <c r="F176" s="383"/>
      <c r="G176" s="383"/>
      <c r="H176" s="383"/>
    </row>
    <row r="177" spans="1:8" ht="12" customHeight="1">
      <c r="A177" s="365" t="str">
        <f>D175</f>
        <v>DA112004</v>
      </c>
      <c r="B177" s="395" t="s">
        <v>1512</v>
      </c>
      <c r="C177" s="382"/>
      <c r="D177" s="382"/>
      <c r="E177" s="394" t="s">
        <v>1418</v>
      </c>
      <c r="F177" s="383" t="e">
        <v>#REF!</v>
      </c>
      <c r="G177" s="383">
        <f>+'MLBSS_Receita e Despesa'!K201</f>
        <v>0</v>
      </c>
      <c r="H177" s="383"/>
    </row>
    <row r="178" spans="2:8" ht="12" customHeight="1">
      <c r="B178" s="395"/>
      <c r="C178" s="382"/>
      <c r="D178" s="382"/>
      <c r="E178" s="412" t="s">
        <v>156</v>
      </c>
      <c r="F178" s="383"/>
      <c r="G178" s="383"/>
      <c r="H178" s="383"/>
    </row>
    <row r="179" spans="2:8" ht="12" customHeight="1">
      <c r="B179" s="395"/>
      <c r="C179" s="382"/>
      <c r="D179" s="382"/>
      <c r="E179" s="407" t="s">
        <v>109</v>
      </c>
      <c r="F179" s="383" t="e">
        <f>SUM(F180:F182)</f>
        <v>#REF!</v>
      </c>
      <c r="G179" s="383">
        <f>SUM(G180:G182)</f>
        <v>0</v>
      </c>
      <c r="H179" s="383"/>
    </row>
    <row r="180" spans="1:8" ht="12" customHeight="1">
      <c r="A180" s="365" t="str">
        <f>D175</f>
        <v>DA112004</v>
      </c>
      <c r="B180" s="395" t="s">
        <v>1513</v>
      </c>
      <c r="C180" s="382"/>
      <c r="D180" s="382"/>
      <c r="E180" s="413" t="s">
        <v>29</v>
      </c>
      <c r="F180" s="383" t="e">
        <v>#REF!</v>
      </c>
      <c r="G180" s="383">
        <f>+'MLBSS_Receita e Despesa'!K204</f>
        <v>0</v>
      </c>
      <c r="H180" s="383"/>
    </row>
    <row r="181" spans="1:8" ht="12" customHeight="1">
      <c r="A181" s="365" t="str">
        <f>D175</f>
        <v>DA112004</v>
      </c>
      <c r="B181" s="395" t="s">
        <v>1514</v>
      </c>
      <c r="C181" s="382"/>
      <c r="D181" s="382"/>
      <c r="E181" s="413" t="s">
        <v>26</v>
      </c>
      <c r="F181" s="383" t="e">
        <v>#REF!</v>
      </c>
      <c r="G181" s="383">
        <f>+'MLBSS_Receita e Despesa'!K205</f>
        <v>0</v>
      </c>
      <c r="H181" s="383"/>
    </row>
    <row r="182" spans="1:8" ht="12" customHeight="1">
      <c r="A182" s="365" t="str">
        <f>D175</f>
        <v>DA112004</v>
      </c>
      <c r="B182" s="395" t="s">
        <v>1515</v>
      </c>
      <c r="C182" s="382"/>
      <c r="D182" s="382"/>
      <c r="E182" s="413" t="s">
        <v>28</v>
      </c>
      <c r="F182" s="383" t="e">
        <v>#REF!</v>
      </c>
      <c r="G182" s="383">
        <f>+'MLBSS_Receita e Despesa'!K206</f>
        <v>0</v>
      </c>
      <c r="H182" s="383"/>
    </row>
    <row r="183" spans="2:8" ht="12" customHeight="1">
      <c r="B183" s="397"/>
      <c r="C183" s="397"/>
      <c r="D183" s="397"/>
      <c r="E183" s="414"/>
      <c r="F183" s="399"/>
      <c r="G183" s="399"/>
      <c r="H183" s="399"/>
    </row>
    <row r="184" spans="1:201" s="384" customFormat="1" ht="12" customHeight="1">
      <c r="A184" s="415"/>
      <c r="B184" s="401"/>
      <c r="C184" s="400"/>
      <c r="D184" s="400"/>
      <c r="E184" s="402" t="s">
        <v>920</v>
      </c>
      <c r="F184" s="402" t="e">
        <f>+F175+F157+F140+F118</f>
        <v>#REF!</v>
      </c>
      <c r="G184" s="402">
        <f>+G175+G157+G140+G118</f>
        <v>1201127172</v>
      </c>
      <c r="H184" s="402">
        <f>+'MLBSS_Receita e Despesa'!K218-Despesa!G184</f>
        <v>77394805</v>
      </c>
      <c r="K184" s="417"/>
      <c r="M184" s="417"/>
      <c r="N184" s="417"/>
      <c r="O184" s="418"/>
      <c r="P184" s="418"/>
      <c r="Q184" s="418"/>
      <c r="R184" s="418"/>
      <c r="S184" s="418"/>
      <c r="T184" s="416"/>
      <c r="U184" s="416"/>
      <c r="X184" s="417"/>
      <c r="Z184" s="417"/>
      <c r="AA184" s="417"/>
      <c r="AB184" s="418"/>
      <c r="AC184" s="418"/>
      <c r="AD184" s="418"/>
      <c r="AE184" s="418"/>
      <c r="AF184" s="418"/>
      <c r="AG184" s="416"/>
      <c r="AH184" s="416"/>
      <c r="AK184" s="417"/>
      <c r="AM184" s="417"/>
      <c r="AN184" s="417"/>
      <c r="AO184" s="418"/>
      <c r="AP184" s="418"/>
      <c r="AQ184" s="418"/>
      <c r="AR184" s="418"/>
      <c r="AS184" s="418"/>
      <c r="AT184" s="416"/>
      <c r="AU184" s="416"/>
      <c r="AX184" s="417"/>
      <c r="AZ184" s="417"/>
      <c r="BA184" s="417"/>
      <c r="BB184" s="418"/>
      <c r="BC184" s="418"/>
      <c r="BD184" s="418"/>
      <c r="BE184" s="418"/>
      <c r="BF184" s="418"/>
      <c r="BG184" s="416"/>
      <c r="BH184" s="416"/>
      <c r="BK184" s="417"/>
      <c r="BM184" s="417"/>
      <c r="BN184" s="417"/>
      <c r="BO184" s="418"/>
      <c r="BP184" s="418"/>
      <c r="BQ184" s="418"/>
      <c r="BR184" s="418"/>
      <c r="BS184" s="418"/>
      <c r="BT184" s="416"/>
      <c r="BU184" s="416"/>
      <c r="BX184" s="417"/>
      <c r="BZ184" s="417"/>
      <c r="CA184" s="417"/>
      <c r="CB184" s="418"/>
      <c r="CC184" s="418"/>
      <c r="CD184" s="418"/>
      <c r="CE184" s="418"/>
      <c r="CF184" s="418"/>
      <c r="CG184" s="416"/>
      <c r="CH184" s="416"/>
      <c r="CK184" s="417"/>
      <c r="CM184" s="417"/>
      <c r="CN184" s="417"/>
      <c r="CO184" s="418"/>
      <c r="CP184" s="418"/>
      <c r="CQ184" s="418"/>
      <c r="CR184" s="418"/>
      <c r="CS184" s="418"/>
      <c r="CT184" s="416"/>
      <c r="CU184" s="416"/>
      <c r="CX184" s="417"/>
      <c r="CZ184" s="417"/>
      <c r="DA184" s="417"/>
      <c r="DB184" s="418"/>
      <c r="DC184" s="418"/>
      <c r="DD184" s="418"/>
      <c r="DE184" s="418"/>
      <c r="DF184" s="418"/>
      <c r="DG184" s="416"/>
      <c r="DH184" s="416"/>
      <c r="DK184" s="417"/>
      <c r="DM184" s="417"/>
      <c r="DN184" s="417"/>
      <c r="DO184" s="418"/>
      <c r="DP184" s="418"/>
      <c r="DQ184" s="418"/>
      <c r="DR184" s="418"/>
      <c r="DS184" s="418"/>
      <c r="DT184" s="416"/>
      <c r="DU184" s="416"/>
      <c r="DX184" s="417"/>
      <c r="DZ184" s="417"/>
      <c r="EA184" s="417"/>
      <c r="EB184" s="418"/>
      <c r="EC184" s="418"/>
      <c r="ED184" s="418"/>
      <c r="EE184" s="418"/>
      <c r="EF184" s="418"/>
      <c r="EG184" s="416"/>
      <c r="EH184" s="416"/>
      <c r="EK184" s="417"/>
      <c r="EM184" s="417"/>
      <c r="EN184" s="417"/>
      <c r="EO184" s="418"/>
      <c r="EP184" s="418"/>
      <c r="EQ184" s="418"/>
      <c r="ER184" s="418"/>
      <c r="ES184" s="418"/>
      <c r="ET184" s="416"/>
      <c r="EU184" s="416"/>
      <c r="EX184" s="417"/>
      <c r="EZ184" s="417"/>
      <c r="FA184" s="417"/>
      <c r="FB184" s="418"/>
      <c r="FC184" s="418"/>
      <c r="FD184" s="418"/>
      <c r="FE184" s="418"/>
      <c r="FF184" s="418"/>
      <c r="FG184" s="416"/>
      <c r="FH184" s="416"/>
      <c r="FK184" s="417"/>
      <c r="FM184" s="417"/>
      <c r="FN184" s="417"/>
      <c r="FO184" s="418"/>
      <c r="FP184" s="418"/>
      <c r="FQ184" s="418"/>
      <c r="FR184" s="418"/>
      <c r="FS184" s="418"/>
      <c r="FT184" s="416"/>
      <c r="FU184" s="416"/>
      <c r="FX184" s="417"/>
      <c r="FZ184" s="417"/>
      <c r="GA184" s="417"/>
      <c r="GB184" s="418"/>
      <c r="GC184" s="418"/>
      <c r="GD184" s="418"/>
      <c r="GE184" s="418"/>
      <c r="GF184" s="418"/>
      <c r="GG184" s="416"/>
      <c r="GH184" s="416"/>
      <c r="GK184" s="417"/>
      <c r="GM184" s="417"/>
      <c r="GN184" s="417"/>
      <c r="GO184" s="418"/>
      <c r="GP184" s="418"/>
      <c r="GQ184" s="418"/>
      <c r="GR184" s="418"/>
      <c r="GS184" s="418"/>
    </row>
    <row r="185" spans="2:8" ht="12" customHeight="1">
      <c r="B185" s="369" t="s">
        <v>1084</v>
      </c>
      <c r="C185" s="370"/>
      <c r="D185" s="370"/>
      <c r="E185" s="369"/>
      <c r="F185" s="403" t="e">
        <v>#REF!</v>
      </c>
      <c r="G185" s="403">
        <f>'MLBSS_Receita e Despesa'!K218-G184</f>
        <v>77394805</v>
      </c>
      <c r="H185" s="403">
        <f>+'MLBSS_Receita e Despesa'!K208</f>
        <v>21153815</v>
      </c>
    </row>
    <row r="186" spans="2:8" ht="12" customHeight="1">
      <c r="B186" s="371"/>
      <c r="E186" s="404"/>
      <c r="F186" s="404"/>
      <c r="G186" s="404"/>
      <c r="H186" s="404"/>
    </row>
    <row r="187" spans="2:8" ht="12" customHeight="1">
      <c r="B187" s="373" t="s">
        <v>1360</v>
      </c>
      <c r="C187" s="374"/>
      <c r="D187" s="374"/>
      <c r="E187" s="373"/>
      <c r="F187" s="373" t="s">
        <v>1361</v>
      </c>
      <c r="G187" s="373" t="s">
        <v>1361</v>
      </c>
      <c r="H187" s="373"/>
    </row>
    <row r="188" spans="2:8" ht="12" customHeight="1">
      <c r="B188" s="375" t="s">
        <v>1362</v>
      </c>
      <c r="C188" s="376" t="s">
        <v>1363</v>
      </c>
      <c r="D188" s="376" t="s">
        <v>831</v>
      </c>
      <c r="E188" s="375" t="s">
        <v>1080</v>
      </c>
      <c r="F188" s="375">
        <v>2008</v>
      </c>
      <c r="G188" s="375">
        <v>2008</v>
      </c>
      <c r="H188" s="375" t="s">
        <v>1496</v>
      </c>
    </row>
    <row r="189" spans="2:8" ht="12" customHeight="1">
      <c r="B189" s="377" t="s">
        <v>832</v>
      </c>
      <c r="C189" s="378"/>
      <c r="D189" s="378"/>
      <c r="E189" s="377"/>
      <c r="F189" s="377" t="s">
        <v>1098</v>
      </c>
      <c r="G189" s="377" t="s">
        <v>833</v>
      </c>
      <c r="H189" s="377"/>
    </row>
    <row r="190" spans="2:8" ht="12" customHeight="1">
      <c r="B190" s="381"/>
      <c r="C190" s="382"/>
      <c r="D190" s="382"/>
      <c r="E190" s="419"/>
      <c r="F190" s="383"/>
      <c r="G190" s="383"/>
      <c r="H190" s="383"/>
    </row>
    <row r="191" spans="2:8" ht="12" customHeight="1">
      <c r="B191" s="381"/>
      <c r="C191" s="382"/>
      <c r="D191" s="382"/>
      <c r="E191" s="381" t="s">
        <v>1291</v>
      </c>
      <c r="F191" s="383"/>
      <c r="G191" s="383"/>
      <c r="H191" s="383"/>
    </row>
    <row r="192" spans="2:8" ht="12" customHeight="1">
      <c r="B192" s="420"/>
      <c r="C192" s="382"/>
      <c r="D192" s="382"/>
      <c r="E192" s="420"/>
      <c r="F192" s="383"/>
      <c r="G192" s="383"/>
      <c r="H192" s="383"/>
    </row>
    <row r="193" spans="2:8" ht="12" customHeight="1">
      <c r="B193" s="420"/>
      <c r="C193" s="382"/>
      <c r="D193" s="382"/>
      <c r="E193" s="406" t="s">
        <v>357</v>
      </c>
      <c r="F193" s="383"/>
      <c r="G193" s="383"/>
      <c r="H193" s="383"/>
    </row>
    <row r="194" spans="2:8" ht="12" customHeight="1">
      <c r="B194" s="420"/>
      <c r="C194" s="382"/>
      <c r="D194" s="382"/>
      <c r="E194" s="420"/>
      <c r="F194" s="383"/>
      <c r="G194" s="383"/>
      <c r="H194" s="383"/>
    </row>
    <row r="195" spans="1:8" s="384" customFormat="1" ht="12" customHeight="1">
      <c r="A195" s="365"/>
      <c r="B195" s="385" t="s">
        <v>1433</v>
      </c>
      <c r="C195" s="385" t="s">
        <v>183</v>
      </c>
      <c r="D195" s="385" t="s">
        <v>1516</v>
      </c>
      <c r="E195" s="381" t="s">
        <v>36</v>
      </c>
      <c r="F195" s="387" t="e">
        <f>SUM(F196:F218)</f>
        <v>#REF!</v>
      </c>
      <c r="G195" s="387" t="e">
        <f>SUM(G196:G218)</f>
        <v>#REF!</v>
      </c>
      <c r="H195" s="387"/>
    </row>
    <row r="196" spans="1:8" ht="12" customHeight="1">
      <c r="A196" s="365" t="str">
        <f>$D$195</f>
        <v>DA113001</v>
      </c>
      <c r="B196" s="421" t="s">
        <v>37</v>
      </c>
      <c r="C196" s="382"/>
      <c r="D196" s="382"/>
      <c r="E196" s="422" t="s">
        <v>1033</v>
      </c>
      <c r="F196" s="383" t="e">
        <v>#REF!</v>
      </c>
      <c r="G196" s="383" t="e">
        <f>+#REF!</f>
        <v>#REF!</v>
      </c>
      <c r="H196" s="383"/>
    </row>
    <row r="197" spans="1:8" ht="12" customHeight="1">
      <c r="A197" s="365" t="str">
        <f>$D$195</f>
        <v>DA113001</v>
      </c>
      <c r="B197" s="421" t="s">
        <v>1341</v>
      </c>
      <c r="C197" s="382"/>
      <c r="D197" s="382"/>
      <c r="E197" s="422" t="s">
        <v>1303</v>
      </c>
      <c r="F197" s="383" t="e">
        <v>#REF!</v>
      </c>
      <c r="G197" s="383" t="e">
        <f>+#REF!</f>
        <v>#REF!</v>
      </c>
      <c r="H197" s="383"/>
    </row>
    <row r="198" spans="1:8" ht="12" customHeight="1">
      <c r="A198" s="365" t="str">
        <f>$D$195</f>
        <v>DA113001</v>
      </c>
      <c r="B198" s="421" t="s">
        <v>1342</v>
      </c>
      <c r="C198" s="382"/>
      <c r="D198" s="382"/>
      <c r="E198" s="422" t="s">
        <v>1304</v>
      </c>
      <c r="F198" s="383" t="e">
        <v>#REF!</v>
      </c>
      <c r="G198" s="383" t="e">
        <f>+#REF!</f>
        <v>#REF!</v>
      </c>
      <c r="H198" s="383"/>
    </row>
    <row r="199" spans="2:8" s="423" customFormat="1" ht="12" customHeight="1">
      <c r="B199" s="424" t="s">
        <v>1343</v>
      </c>
      <c r="C199" s="425"/>
      <c r="D199" s="425"/>
      <c r="E199" s="426" t="s">
        <v>1305</v>
      </c>
      <c r="F199" s="383" t="e">
        <v>#REF!</v>
      </c>
      <c r="G199" s="383" t="e">
        <f>+#REF!</f>
        <v>#REF!</v>
      </c>
      <c r="H199" s="383"/>
    </row>
    <row r="200" spans="2:8" s="423" customFormat="1" ht="12" customHeight="1">
      <c r="B200" s="424" t="s">
        <v>1344</v>
      </c>
      <c r="C200" s="425"/>
      <c r="D200" s="425"/>
      <c r="E200" s="426" t="s">
        <v>1306</v>
      </c>
      <c r="F200" s="383" t="e">
        <v>#REF!</v>
      </c>
      <c r="G200" s="383" t="e">
        <f>+#REF!</f>
        <v>#REF!</v>
      </c>
      <c r="H200" s="383"/>
    </row>
    <row r="201" spans="1:8" ht="12" customHeight="1">
      <c r="A201" s="365" t="str">
        <f aca="true" t="shared" si="0" ref="A201:A218">$D$195</f>
        <v>DA113001</v>
      </c>
      <c r="B201" s="421" t="s">
        <v>1034</v>
      </c>
      <c r="C201" s="382"/>
      <c r="D201" s="382"/>
      <c r="E201" s="422" t="s">
        <v>570</v>
      </c>
      <c r="F201" s="383" t="e">
        <v>#REF!</v>
      </c>
      <c r="G201" s="383" t="e">
        <f>+#REF!</f>
        <v>#REF!</v>
      </c>
      <c r="H201" s="383"/>
    </row>
    <row r="202" spans="1:8" ht="12" customHeight="1">
      <c r="A202" s="365" t="str">
        <f t="shared" si="0"/>
        <v>DA113001</v>
      </c>
      <c r="B202" s="421" t="s">
        <v>571</v>
      </c>
      <c r="C202" s="382"/>
      <c r="D202" s="382"/>
      <c r="E202" s="422" t="s">
        <v>1072</v>
      </c>
      <c r="F202" s="383" t="e">
        <v>#REF!</v>
      </c>
      <c r="G202" s="383" t="e">
        <f>+#REF!</f>
        <v>#REF!</v>
      </c>
      <c r="H202" s="383"/>
    </row>
    <row r="203" spans="1:8" ht="12" customHeight="1">
      <c r="A203" s="365" t="str">
        <f t="shared" si="0"/>
        <v>DA113001</v>
      </c>
      <c r="B203" s="421" t="s">
        <v>740</v>
      </c>
      <c r="C203" s="382"/>
      <c r="D203" s="382"/>
      <c r="E203" s="422" t="s">
        <v>741</v>
      </c>
      <c r="F203" s="383" t="e">
        <v>#REF!</v>
      </c>
      <c r="G203" s="383" t="e">
        <f>+#REF!</f>
        <v>#REF!</v>
      </c>
      <c r="H203" s="383"/>
    </row>
    <row r="204" spans="1:8" ht="12" customHeight="1">
      <c r="A204" s="365" t="str">
        <f t="shared" si="0"/>
        <v>DA113001</v>
      </c>
      <c r="B204" s="421" t="s">
        <v>742</v>
      </c>
      <c r="C204" s="382"/>
      <c r="D204" s="382"/>
      <c r="E204" s="422" t="s">
        <v>743</v>
      </c>
      <c r="F204" s="383" t="e">
        <v>#REF!</v>
      </c>
      <c r="G204" s="383" t="e">
        <f>+#REF!</f>
        <v>#REF!</v>
      </c>
      <c r="H204" s="383"/>
    </row>
    <row r="205" spans="1:8" ht="12" customHeight="1">
      <c r="A205" s="365" t="str">
        <f t="shared" si="0"/>
        <v>DA113001</v>
      </c>
      <c r="B205" s="421" t="s">
        <v>744</v>
      </c>
      <c r="C205" s="382"/>
      <c r="D205" s="382"/>
      <c r="E205" s="422" t="s">
        <v>555</v>
      </c>
      <c r="F205" s="383" t="e">
        <v>#REF!</v>
      </c>
      <c r="G205" s="383" t="e">
        <f>+#REF!</f>
        <v>#REF!</v>
      </c>
      <c r="H205" s="383"/>
    </row>
    <row r="206" spans="1:8" ht="12" customHeight="1">
      <c r="A206" s="365" t="str">
        <f t="shared" si="0"/>
        <v>DA113001</v>
      </c>
      <c r="B206" s="421" t="s">
        <v>556</v>
      </c>
      <c r="C206" s="382"/>
      <c r="D206" s="382"/>
      <c r="E206" s="422" t="s">
        <v>557</v>
      </c>
      <c r="F206" s="383" t="e">
        <v>#REF!</v>
      </c>
      <c r="G206" s="383" t="e">
        <f>+#REF!</f>
        <v>#REF!</v>
      </c>
      <c r="H206" s="383"/>
    </row>
    <row r="207" spans="1:8" ht="12" customHeight="1">
      <c r="A207" s="365" t="str">
        <f t="shared" si="0"/>
        <v>DA113001</v>
      </c>
      <c r="B207" s="421" t="s">
        <v>558</v>
      </c>
      <c r="C207" s="382"/>
      <c r="D207" s="382"/>
      <c r="E207" s="422" t="s">
        <v>559</v>
      </c>
      <c r="F207" s="383" t="e">
        <v>#REF!</v>
      </c>
      <c r="G207" s="383" t="e">
        <f>+#REF!</f>
        <v>#REF!</v>
      </c>
      <c r="H207" s="383"/>
    </row>
    <row r="208" spans="1:8" ht="12" customHeight="1">
      <c r="A208" s="365" t="str">
        <f t="shared" si="0"/>
        <v>DA113001</v>
      </c>
      <c r="B208" s="421" t="s">
        <v>560</v>
      </c>
      <c r="C208" s="382"/>
      <c r="D208" s="382"/>
      <c r="E208" s="422" t="s">
        <v>1501</v>
      </c>
      <c r="F208" s="383" t="e">
        <v>#REF!</v>
      </c>
      <c r="G208" s="383" t="e">
        <f>+#REF!</f>
        <v>#REF!</v>
      </c>
      <c r="H208" s="383"/>
    </row>
    <row r="209" spans="1:8" ht="12" customHeight="1">
      <c r="A209" s="365" t="str">
        <f t="shared" si="0"/>
        <v>DA113001</v>
      </c>
      <c r="B209" s="421" t="s">
        <v>723</v>
      </c>
      <c r="C209" s="382"/>
      <c r="D209" s="382"/>
      <c r="E209" s="422" t="s">
        <v>724</v>
      </c>
      <c r="F209" s="383" t="e">
        <v>#REF!</v>
      </c>
      <c r="G209" s="383" t="e">
        <f>+#REF!</f>
        <v>#REF!</v>
      </c>
      <c r="H209" s="383"/>
    </row>
    <row r="210" spans="1:8" ht="12" customHeight="1">
      <c r="A210" s="365" t="str">
        <f t="shared" si="0"/>
        <v>DA113001</v>
      </c>
      <c r="B210" s="421" t="s">
        <v>725</v>
      </c>
      <c r="C210" s="382"/>
      <c r="D210" s="382"/>
      <c r="E210" s="422" t="s">
        <v>726</v>
      </c>
      <c r="F210" s="383" t="e">
        <v>#REF!</v>
      </c>
      <c r="G210" s="383" t="e">
        <f>+#REF!</f>
        <v>#REF!</v>
      </c>
      <c r="H210" s="383"/>
    </row>
    <row r="211" spans="1:8" ht="12" customHeight="1">
      <c r="A211" s="365" t="str">
        <f t="shared" si="0"/>
        <v>DA113001</v>
      </c>
      <c r="B211" s="421" t="s">
        <v>727</v>
      </c>
      <c r="C211" s="382"/>
      <c r="D211" s="382"/>
      <c r="E211" s="422" t="s">
        <v>1156</v>
      </c>
      <c r="F211" s="383" t="e">
        <v>#REF!</v>
      </c>
      <c r="G211" s="383" t="e">
        <f>+#REF!</f>
        <v>#REF!</v>
      </c>
      <c r="H211" s="383"/>
    </row>
    <row r="212" spans="1:8" ht="12" customHeight="1">
      <c r="A212" s="365" t="str">
        <f t="shared" si="0"/>
        <v>DA113001</v>
      </c>
      <c r="B212" s="421" t="s">
        <v>1157</v>
      </c>
      <c r="C212" s="382"/>
      <c r="D212" s="382"/>
      <c r="E212" s="422" t="s">
        <v>1158</v>
      </c>
      <c r="F212" s="383" t="e">
        <v>#REF!</v>
      </c>
      <c r="G212" s="383" t="e">
        <f>+#REF!</f>
        <v>#REF!</v>
      </c>
      <c r="H212" s="383"/>
    </row>
    <row r="213" spans="1:8" ht="12" customHeight="1">
      <c r="A213" s="365" t="str">
        <f t="shared" si="0"/>
        <v>DA113001</v>
      </c>
      <c r="B213" s="421" t="s">
        <v>22</v>
      </c>
      <c r="C213" s="382"/>
      <c r="D213" s="382"/>
      <c r="E213" s="422" t="s">
        <v>1556</v>
      </c>
      <c r="F213" s="383" t="e">
        <v>#REF!</v>
      </c>
      <c r="G213" s="383" t="e">
        <f>+#REF!</f>
        <v>#REF!</v>
      </c>
      <c r="H213" s="383"/>
    </row>
    <row r="214" spans="1:8" ht="12" customHeight="1">
      <c r="A214" s="365" t="str">
        <f t="shared" si="0"/>
        <v>DA113001</v>
      </c>
      <c r="B214" s="421" t="s">
        <v>894</v>
      </c>
      <c r="C214" s="382"/>
      <c r="D214" s="382"/>
      <c r="E214" s="422" t="s">
        <v>895</v>
      </c>
      <c r="F214" s="383" t="e">
        <v>#REF!</v>
      </c>
      <c r="G214" s="383" t="e">
        <f>+#REF!</f>
        <v>#REF!</v>
      </c>
      <c r="H214" s="383"/>
    </row>
    <row r="215" spans="1:8" ht="12" customHeight="1">
      <c r="A215" s="365" t="str">
        <f t="shared" si="0"/>
        <v>DA113001</v>
      </c>
      <c r="B215" s="421" t="s">
        <v>896</v>
      </c>
      <c r="C215" s="382"/>
      <c r="D215" s="382"/>
      <c r="E215" s="422" t="s">
        <v>897</v>
      </c>
      <c r="F215" s="383" t="e">
        <v>#REF!</v>
      </c>
      <c r="G215" s="383" t="e">
        <f>+#REF!</f>
        <v>#REF!</v>
      </c>
      <c r="H215" s="383"/>
    </row>
    <row r="216" spans="1:8" ht="12" customHeight="1">
      <c r="A216" s="365" t="str">
        <f t="shared" si="0"/>
        <v>DA113001</v>
      </c>
      <c r="B216" s="421" t="s">
        <v>1159</v>
      </c>
      <c r="C216" s="382"/>
      <c r="D216" s="382"/>
      <c r="E216" s="422" t="s">
        <v>1160</v>
      </c>
      <c r="F216" s="383" t="e">
        <v>#REF!</v>
      </c>
      <c r="G216" s="383" t="e">
        <f>+#REF!</f>
        <v>#REF!</v>
      </c>
      <c r="H216" s="383"/>
    </row>
    <row r="217" spans="1:8" ht="12" customHeight="1">
      <c r="A217" s="365" t="str">
        <f t="shared" si="0"/>
        <v>DA113001</v>
      </c>
      <c r="B217" s="421" t="s">
        <v>1345</v>
      </c>
      <c r="C217" s="382"/>
      <c r="D217" s="382"/>
      <c r="E217" s="422" t="s">
        <v>1346</v>
      </c>
      <c r="F217" s="383" t="e">
        <v>#REF!</v>
      </c>
      <c r="G217" s="383" t="e">
        <f>+#REF!</f>
        <v>#REF!</v>
      </c>
      <c r="H217" s="383"/>
    </row>
    <row r="218" spans="1:8" ht="12" customHeight="1">
      <c r="A218" s="365" t="str">
        <f t="shared" si="0"/>
        <v>DA113001</v>
      </c>
      <c r="B218" s="421" t="s">
        <v>1161</v>
      </c>
      <c r="C218" s="382"/>
      <c r="D218" s="382"/>
      <c r="E218" s="422" t="s">
        <v>713</v>
      </c>
      <c r="F218" s="383" t="e">
        <v>#REF!</v>
      </c>
      <c r="G218" s="383" t="e">
        <f>+#REF!</f>
        <v>#REF!</v>
      </c>
      <c r="H218" s="383"/>
    </row>
    <row r="219" spans="2:8" ht="12" customHeight="1">
      <c r="B219" s="386"/>
      <c r="C219" s="382"/>
      <c r="D219" s="382"/>
      <c r="E219" s="392"/>
      <c r="F219" s="383"/>
      <c r="G219" s="383"/>
      <c r="H219" s="383"/>
    </row>
    <row r="220" spans="1:8" s="384" customFormat="1" ht="12" customHeight="1">
      <c r="A220" s="365"/>
      <c r="B220" s="385" t="s">
        <v>1433</v>
      </c>
      <c r="C220" s="385" t="s">
        <v>185</v>
      </c>
      <c r="D220" s="385" t="s">
        <v>1347</v>
      </c>
      <c r="E220" s="381" t="s">
        <v>1239</v>
      </c>
      <c r="F220" s="387" t="e">
        <f>SUM(F221:F225)</f>
        <v>#REF!</v>
      </c>
      <c r="G220" s="387" t="e">
        <f>+#REF!</f>
        <v>#REF!</v>
      </c>
      <c r="H220" s="387"/>
    </row>
    <row r="221" spans="1:8" ht="12" customHeight="1">
      <c r="A221" s="365" t="str">
        <f>$D$220</f>
        <v>DA113002</v>
      </c>
      <c r="B221" s="421" t="s">
        <v>576</v>
      </c>
      <c r="C221" s="382"/>
      <c r="D221" s="382"/>
      <c r="E221" s="422" t="s">
        <v>63</v>
      </c>
      <c r="F221" s="383" t="e">
        <v>#REF!</v>
      </c>
      <c r="G221" s="383"/>
      <c r="H221" s="383"/>
    </row>
    <row r="222" spans="1:8" ht="12" customHeight="1">
      <c r="A222" s="365" t="str">
        <f>$D$220</f>
        <v>DA113002</v>
      </c>
      <c r="B222" s="421" t="s">
        <v>64</v>
      </c>
      <c r="C222" s="382"/>
      <c r="D222" s="382"/>
      <c r="E222" s="422" t="s">
        <v>65</v>
      </c>
      <c r="F222" s="383" t="e">
        <v>#REF!</v>
      </c>
      <c r="G222" s="383"/>
      <c r="H222" s="383"/>
    </row>
    <row r="223" spans="1:8" ht="12" customHeight="1">
      <c r="A223" s="365" t="str">
        <f>$D$220</f>
        <v>DA113002</v>
      </c>
      <c r="B223" s="421" t="s">
        <v>1292</v>
      </c>
      <c r="C223" s="382"/>
      <c r="D223" s="382"/>
      <c r="E223" s="422" t="s">
        <v>720</v>
      </c>
      <c r="F223" s="383" t="e">
        <v>#REF!</v>
      </c>
      <c r="G223" s="383"/>
      <c r="H223" s="383"/>
    </row>
    <row r="224" spans="1:8" ht="12" customHeight="1">
      <c r="A224" s="365" t="str">
        <f>$D$220</f>
        <v>DA113002</v>
      </c>
      <c r="B224" s="421" t="s">
        <v>721</v>
      </c>
      <c r="C224" s="382"/>
      <c r="D224" s="382"/>
      <c r="E224" s="422" t="s">
        <v>483</v>
      </c>
      <c r="F224" s="383" t="e">
        <v>#REF!</v>
      </c>
      <c r="G224" s="383"/>
      <c r="H224" s="383"/>
    </row>
    <row r="225" spans="1:8" ht="12" customHeight="1">
      <c r="A225" s="365" t="str">
        <f>$D$220</f>
        <v>DA113002</v>
      </c>
      <c r="B225" s="421" t="s">
        <v>484</v>
      </c>
      <c r="C225" s="382"/>
      <c r="D225" s="382"/>
      <c r="E225" s="422" t="s">
        <v>501</v>
      </c>
      <c r="F225" s="383" t="e">
        <v>#REF!</v>
      </c>
      <c r="G225" s="383" t="e">
        <f>#REF!</f>
        <v>#REF!</v>
      </c>
      <c r="H225" s="383"/>
    </row>
    <row r="226" spans="2:8" ht="12" customHeight="1">
      <c r="B226" s="421"/>
      <c r="C226" s="382"/>
      <c r="D226" s="382"/>
      <c r="E226" s="392"/>
      <c r="F226" s="383"/>
      <c r="G226" s="383"/>
      <c r="H226" s="383"/>
    </row>
    <row r="227" spans="1:8" s="384" customFormat="1" ht="12" customHeight="1">
      <c r="A227" s="365"/>
      <c r="B227" s="385" t="s">
        <v>1433</v>
      </c>
      <c r="C227" s="385" t="s">
        <v>1374</v>
      </c>
      <c r="D227" s="385" t="s">
        <v>1348</v>
      </c>
      <c r="E227" s="381" t="s">
        <v>1353</v>
      </c>
      <c r="F227" s="387" t="e">
        <f>SUM(F228:F232)</f>
        <v>#REF!</v>
      </c>
      <c r="G227" s="387">
        <f>SUM(G228:G232)</f>
        <v>1145698359</v>
      </c>
      <c r="H227" s="387" t="e">
        <f>#REF!-G227</f>
        <v>#REF!</v>
      </c>
    </row>
    <row r="228" spans="1:8" ht="12" customHeight="1">
      <c r="A228" s="365" t="str">
        <f>$D$227</f>
        <v>DA113003</v>
      </c>
      <c r="B228" s="421" t="s">
        <v>576</v>
      </c>
      <c r="C228" s="382"/>
      <c r="D228" s="382"/>
      <c r="E228" s="422" t="s">
        <v>63</v>
      </c>
      <c r="F228" s="383" t="e">
        <v>#REF!</v>
      </c>
      <c r="G228" s="383">
        <v>3491335</v>
      </c>
      <c r="H228" s="383"/>
    </row>
    <row r="229" spans="1:8" ht="12" customHeight="1">
      <c r="A229" s="365" t="str">
        <f>$D$227</f>
        <v>DA113003</v>
      </c>
      <c r="B229" s="421" t="s">
        <v>64</v>
      </c>
      <c r="C229" s="382"/>
      <c r="D229" s="382"/>
      <c r="E229" s="422" t="s">
        <v>65</v>
      </c>
      <c r="F229" s="383" t="e">
        <v>#REF!</v>
      </c>
      <c r="G229" s="383">
        <v>1551337</v>
      </c>
      <c r="H229" s="383"/>
    </row>
    <row r="230" spans="1:8" ht="12" customHeight="1">
      <c r="A230" s="365" t="str">
        <f>$D$227</f>
        <v>DA113003</v>
      </c>
      <c r="B230" s="421" t="s">
        <v>1292</v>
      </c>
      <c r="C230" s="382"/>
      <c r="D230" s="382"/>
      <c r="E230" s="422" t="s">
        <v>720</v>
      </c>
      <c r="F230" s="383" t="e">
        <v>#REF!</v>
      </c>
      <c r="G230" s="383">
        <v>13303784</v>
      </c>
      <c r="H230" s="383"/>
    </row>
    <row r="231" spans="1:8" ht="12" customHeight="1">
      <c r="A231" s="365" t="str">
        <f>$D$227</f>
        <v>DA113003</v>
      </c>
      <c r="B231" s="421" t="s">
        <v>721</v>
      </c>
      <c r="C231" s="382"/>
      <c r="D231" s="382"/>
      <c r="E231" s="422" t="s">
        <v>483</v>
      </c>
      <c r="F231" s="383" t="e">
        <v>#REF!</v>
      </c>
      <c r="G231" s="383">
        <v>189638256</v>
      </c>
      <c r="H231" s="383"/>
    </row>
    <row r="232" spans="1:8" ht="12" customHeight="1">
      <c r="A232" s="365" t="str">
        <f>$D$227</f>
        <v>DA113003</v>
      </c>
      <c r="B232" s="421" t="s">
        <v>484</v>
      </c>
      <c r="C232" s="382"/>
      <c r="D232" s="382"/>
      <c r="E232" s="422" t="s">
        <v>501</v>
      </c>
      <c r="F232" s="383" t="e">
        <v>#REF!</v>
      </c>
      <c r="G232" s="383">
        <v>937713647</v>
      </c>
      <c r="H232" s="383"/>
    </row>
    <row r="233" spans="2:8" ht="12" customHeight="1">
      <c r="B233" s="386"/>
      <c r="C233" s="382"/>
      <c r="D233" s="382"/>
      <c r="E233" s="392"/>
      <c r="F233" s="383"/>
      <c r="G233" s="383"/>
      <c r="H233" s="383"/>
    </row>
    <row r="234" spans="1:9" s="384" customFormat="1" ht="12" customHeight="1">
      <c r="A234" s="365"/>
      <c r="B234" s="385" t="s">
        <v>1433</v>
      </c>
      <c r="C234" s="385" t="s">
        <v>838</v>
      </c>
      <c r="D234" s="385" t="s">
        <v>1349</v>
      </c>
      <c r="E234" s="381" t="s">
        <v>1354</v>
      </c>
      <c r="F234" s="387" t="e">
        <f>SUM(F235:F239)</f>
        <v>#REF!</v>
      </c>
      <c r="G234" s="387">
        <f>SUM(G235:G239)</f>
        <v>105523759</v>
      </c>
      <c r="H234" s="387" t="e">
        <f>G234-#REF!</f>
        <v>#REF!</v>
      </c>
      <c r="I234" s="418"/>
    </row>
    <row r="235" spans="2:9" ht="12" customHeight="1">
      <c r="B235" s="382" t="s">
        <v>1466</v>
      </c>
      <c r="C235" s="382"/>
      <c r="D235" s="382"/>
      <c r="E235" s="388" t="s">
        <v>765</v>
      </c>
      <c r="F235" s="383" t="e">
        <v>#REF!</v>
      </c>
      <c r="G235" s="383">
        <v>78819678</v>
      </c>
      <c r="H235" s="383"/>
      <c r="I235" s="476" t="e">
        <f>+G235-F235</f>
        <v>#REF!</v>
      </c>
    </row>
    <row r="236" spans="2:9" ht="12" customHeight="1">
      <c r="B236" s="382" t="s">
        <v>1467</v>
      </c>
      <c r="C236" s="382"/>
      <c r="D236" s="382"/>
      <c r="E236" s="388" t="s">
        <v>785</v>
      </c>
      <c r="F236" s="383" t="e">
        <v>#REF!</v>
      </c>
      <c r="G236" s="383">
        <v>21626915</v>
      </c>
      <c r="H236" s="383"/>
      <c r="I236" s="476" t="e">
        <f>+G236-F236</f>
        <v>#REF!</v>
      </c>
    </row>
    <row r="237" spans="2:9" ht="12" customHeight="1">
      <c r="B237" s="382" t="s">
        <v>1468</v>
      </c>
      <c r="C237" s="382"/>
      <c r="D237" s="382"/>
      <c r="E237" s="388" t="s">
        <v>813</v>
      </c>
      <c r="F237" s="383" t="e">
        <v>#REF!</v>
      </c>
      <c r="G237" s="383">
        <v>1022</v>
      </c>
      <c r="H237" s="383"/>
      <c r="I237" s="476" t="e">
        <f>+G237-F237</f>
        <v>#REF!</v>
      </c>
    </row>
    <row r="238" spans="2:9" ht="12" customHeight="1">
      <c r="B238" s="382" t="s">
        <v>856</v>
      </c>
      <c r="C238" s="382"/>
      <c r="D238" s="382"/>
      <c r="E238" s="388" t="s">
        <v>1427</v>
      </c>
      <c r="F238" s="383" t="e">
        <v>#REF!</v>
      </c>
      <c r="G238" s="383">
        <v>1076144</v>
      </c>
      <c r="H238" s="383"/>
      <c r="I238" s="476" t="e">
        <f>+G238-F238</f>
        <v>#REF!</v>
      </c>
    </row>
    <row r="239" spans="2:9" ht="12" customHeight="1">
      <c r="B239" s="382" t="s">
        <v>118</v>
      </c>
      <c r="C239" s="382"/>
      <c r="D239" s="382"/>
      <c r="E239" s="388" t="s">
        <v>565</v>
      </c>
      <c r="F239" s="383" t="e">
        <v>#REF!</v>
      </c>
      <c r="G239" s="383">
        <v>4000000</v>
      </c>
      <c r="H239" s="383"/>
      <c r="I239" s="476" t="e">
        <f>+G239-F239</f>
        <v>#REF!</v>
      </c>
    </row>
    <row r="240" spans="2:8" ht="12" customHeight="1">
      <c r="B240" s="409"/>
      <c r="C240" s="382"/>
      <c r="D240" s="382"/>
      <c r="E240" s="392"/>
      <c r="F240" s="383"/>
      <c r="G240" s="383"/>
      <c r="H240" s="383"/>
    </row>
    <row r="241" spans="1:8" s="384" customFormat="1" ht="12" customHeight="1">
      <c r="A241" s="365"/>
      <c r="B241" s="385" t="s">
        <v>1433</v>
      </c>
      <c r="C241" s="385" t="s">
        <v>373</v>
      </c>
      <c r="D241" s="385" t="s">
        <v>1350</v>
      </c>
      <c r="E241" s="381" t="s">
        <v>898</v>
      </c>
      <c r="F241" s="387" t="e">
        <f>+F242+F243</f>
        <v>#REF!</v>
      </c>
      <c r="G241" s="387">
        <f>SUM(G242:G243)</f>
        <v>23412054</v>
      </c>
      <c r="H241" s="387">
        <f>G241-23412054</f>
        <v>0</v>
      </c>
    </row>
    <row r="242" spans="1:9" ht="12" customHeight="1">
      <c r="A242" s="365" t="str">
        <f>$D$241</f>
        <v>DA113005</v>
      </c>
      <c r="B242" s="392" t="s">
        <v>1477</v>
      </c>
      <c r="C242" s="382"/>
      <c r="D242" s="382"/>
      <c r="E242" s="391" t="s">
        <v>1478</v>
      </c>
      <c r="F242" s="383" t="e">
        <v>#REF!</v>
      </c>
      <c r="G242" s="383">
        <v>12312054</v>
      </c>
      <c r="H242" s="383"/>
      <c r="I242" s="476">
        <f>G242+G258+G259</f>
        <v>12987423</v>
      </c>
    </row>
    <row r="243" spans="1:9" ht="12" customHeight="1">
      <c r="A243" s="365" t="str">
        <f>$D$241</f>
        <v>DA113005</v>
      </c>
      <c r="B243" s="392" t="s">
        <v>1479</v>
      </c>
      <c r="C243" s="382"/>
      <c r="D243" s="382"/>
      <c r="E243" s="391" t="s">
        <v>374</v>
      </c>
      <c r="F243" s="383" t="e">
        <v>#REF!</v>
      </c>
      <c r="G243" s="383">
        <v>11100000</v>
      </c>
      <c r="H243" s="383"/>
      <c r="I243" s="476">
        <f>12312054+324179+351190</f>
        <v>12987423</v>
      </c>
    </row>
    <row r="244" spans="2:8" ht="12" customHeight="1">
      <c r="B244" s="409"/>
      <c r="C244" s="382"/>
      <c r="D244" s="382"/>
      <c r="E244" s="392"/>
      <c r="F244" s="383"/>
      <c r="G244" s="383"/>
      <c r="H244" s="383"/>
    </row>
    <row r="245" spans="1:8" s="384" customFormat="1" ht="12" customHeight="1">
      <c r="A245" s="365"/>
      <c r="B245" s="385" t="s">
        <v>1433</v>
      </c>
      <c r="C245" s="385" t="s">
        <v>375</v>
      </c>
      <c r="D245" s="385" t="s">
        <v>1351</v>
      </c>
      <c r="E245" s="381" t="s">
        <v>1208</v>
      </c>
      <c r="F245" s="387" t="e">
        <f>+F246+F247</f>
        <v>#REF!</v>
      </c>
      <c r="G245" s="387">
        <f>+G246+G247</f>
        <v>145000</v>
      </c>
      <c r="H245" s="387" t="e">
        <f>+G245-F245</f>
        <v>#REF!</v>
      </c>
    </row>
    <row r="246" spans="1:8" ht="12" customHeight="1">
      <c r="A246" s="365" t="str">
        <f>$D$245</f>
        <v>DA113006</v>
      </c>
      <c r="B246" s="392" t="s">
        <v>1205</v>
      </c>
      <c r="C246" s="382"/>
      <c r="D246" s="382"/>
      <c r="E246" s="391" t="s">
        <v>1084</v>
      </c>
      <c r="F246" s="383" t="e">
        <v>#REF!</v>
      </c>
      <c r="G246" s="383">
        <v>100000</v>
      </c>
      <c r="H246" s="383" t="e">
        <f>+G246-F246</f>
        <v>#REF!</v>
      </c>
    </row>
    <row r="247" spans="1:8" ht="12" customHeight="1">
      <c r="A247" s="365" t="str">
        <f>$D$245</f>
        <v>DA113006</v>
      </c>
      <c r="B247" s="392" t="s">
        <v>1206</v>
      </c>
      <c r="C247" s="382"/>
      <c r="D247" s="382"/>
      <c r="E247" s="391" t="s">
        <v>1252</v>
      </c>
      <c r="F247" s="383" t="e">
        <v>#REF!</v>
      </c>
      <c r="G247" s="383">
        <v>45000</v>
      </c>
      <c r="H247" s="383" t="e">
        <f>+G247-F247</f>
        <v>#REF!</v>
      </c>
    </row>
    <row r="248" spans="2:8" ht="12" customHeight="1">
      <c r="B248" s="409"/>
      <c r="C248" s="382"/>
      <c r="D248" s="382"/>
      <c r="E248" s="392"/>
      <c r="F248" s="383"/>
      <c r="G248" s="383"/>
      <c r="H248" s="383"/>
    </row>
    <row r="249" spans="1:8" s="384" customFormat="1" ht="12" customHeight="1">
      <c r="A249" s="365"/>
      <c r="B249" s="385" t="s">
        <v>1433</v>
      </c>
      <c r="C249" s="385" t="s">
        <v>376</v>
      </c>
      <c r="D249" s="385" t="s">
        <v>1352</v>
      </c>
      <c r="E249" s="381" t="s">
        <v>638</v>
      </c>
      <c r="F249" s="387" t="e">
        <f>SUM(F250:F255)</f>
        <v>#REF!</v>
      </c>
      <c r="G249" s="387" t="e">
        <f>SUM(G250:G255)</f>
        <v>#REF!</v>
      </c>
      <c r="H249" s="387"/>
    </row>
    <row r="250" spans="1:8" ht="12" customHeight="1">
      <c r="A250" s="365" t="str">
        <f aca="true" t="shared" si="1" ref="A250:A255">$D$249</f>
        <v>DA113007</v>
      </c>
      <c r="B250" s="392" t="s">
        <v>1419</v>
      </c>
      <c r="C250" s="382"/>
      <c r="D250" s="382"/>
      <c r="E250" s="391" t="s">
        <v>1586</v>
      </c>
      <c r="F250" s="383" t="e">
        <v>#REF!</v>
      </c>
      <c r="G250" s="383" t="e">
        <f>+#REF!</f>
        <v>#REF!</v>
      </c>
      <c r="H250" s="383"/>
    </row>
    <row r="251" spans="1:8" ht="12" customHeight="1">
      <c r="A251" s="365" t="str">
        <f t="shared" si="1"/>
        <v>DA113007</v>
      </c>
      <c r="B251" s="392" t="s">
        <v>1587</v>
      </c>
      <c r="C251" s="382"/>
      <c r="D251" s="382"/>
      <c r="E251" s="391" t="s">
        <v>1063</v>
      </c>
      <c r="F251" s="383" t="e">
        <v>#REF!</v>
      </c>
      <c r="G251" s="383" t="e">
        <f>+#REF!</f>
        <v>#REF!</v>
      </c>
      <c r="H251" s="383"/>
    </row>
    <row r="252" spans="1:8" ht="12" customHeight="1">
      <c r="A252" s="365" t="str">
        <f t="shared" si="1"/>
        <v>DA113007</v>
      </c>
      <c r="B252" s="392" t="s">
        <v>1064</v>
      </c>
      <c r="C252" s="382"/>
      <c r="D252" s="382"/>
      <c r="E252" s="391" t="s">
        <v>648</v>
      </c>
      <c r="F252" s="383" t="e">
        <v>#REF!</v>
      </c>
      <c r="G252" s="383" t="e">
        <f>+#REF!</f>
        <v>#REF!</v>
      </c>
      <c r="H252" s="383"/>
    </row>
    <row r="253" spans="1:8" ht="12" customHeight="1">
      <c r="A253" s="365" t="str">
        <f t="shared" si="1"/>
        <v>DA113007</v>
      </c>
      <c r="B253" s="392" t="s">
        <v>1480</v>
      </c>
      <c r="C253" s="382"/>
      <c r="D253" s="382"/>
      <c r="E253" s="391" t="s">
        <v>823</v>
      </c>
      <c r="F253" s="383" t="e">
        <v>#REF!</v>
      </c>
      <c r="G253" s="383" t="e">
        <f>+#REF!</f>
        <v>#REF!</v>
      </c>
      <c r="H253" s="383"/>
    </row>
    <row r="254" spans="1:8" ht="12" customHeight="1">
      <c r="A254" s="365" t="str">
        <f t="shared" si="1"/>
        <v>DA113007</v>
      </c>
      <c r="B254" s="382" t="s">
        <v>1482</v>
      </c>
      <c r="C254" s="382"/>
      <c r="D254" s="382"/>
      <c r="E254" s="391" t="s">
        <v>824</v>
      </c>
      <c r="F254" s="383" t="e">
        <v>#REF!</v>
      </c>
      <c r="G254" s="383" t="e">
        <f>+#REF!</f>
        <v>#REF!</v>
      </c>
      <c r="H254" s="383"/>
    </row>
    <row r="255" spans="1:8" ht="12" customHeight="1">
      <c r="A255" s="365" t="str">
        <f t="shared" si="1"/>
        <v>DA113007</v>
      </c>
      <c r="B255" s="392" t="s">
        <v>825</v>
      </c>
      <c r="C255" s="382"/>
      <c r="D255" s="382"/>
      <c r="E255" s="391" t="s">
        <v>257</v>
      </c>
      <c r="F255" s="383" t="e">
        <v>#REF!</v>
      </c>
      <c r="G255" s="383" t="e">
        <f>+#REF!</f>
        <v>#REF!</v>
      </c>
      <c r="H255" s="383"/>
    </row>
    <row r="256" spans="2:8" ht="12" customHeight="1">
      <c r="B256" s="392"/>
      <c r="C256" s="382"/>
      <c r="D256" s="382"/>
      <c r="E256" s="391"/>
      <c r="F256" s="383"/>
      <c r="G256" s="383"/>
      <c r="H256" s="383"/>
    </row>
    <row r="257" spans="1:8" s="384" customFormat="1" ht="12" customHeight="1">
      <c r="A257" s="365"/>
      <c r="B257" s="385" t="s">
        <v>1433</v>
      </c>
      <c r="C257" s="385" t="s">
        <v>1529</v>
      </c>
      <c r="D257" s="385" t="s">
        <v>258</v>
      </c>
      <c r="E257" s="381" t="s">
        <v>1045</v>
      </c>
      <c r="F257" s="387" t="e">
        <f>+F258+F259</f>
        <v>#REF!</v>
      </c>
      <c r="G257" s="387">
        <f>+G258+G259</f>
        <v>675369</v>
      </c>
      <c r="H257" s="387">
        <f>G257-675369</f>
        <v>0</v>
      </c>
    </row>
    <row r="258" spans="1:8" ht="12" customHeight="1">
      <c r="A258" s="365" t="str">
        <f>$D$257</f>
        <v>DA113008</v>
      </c>
      <c r="B258" s="392" t="s">
        <v>1205</v>
      </c>
      <c r="C258" s="382"/>
      <c r="D258" s="382"/>
      <c r="E258" s="391" t="s">
        <v>225</v>
      </c>
      <c r="F258" s="383" t="e">
        <v>#REF!</v>
      </c>
      <c r="G258" s="383">
        <v>324179</v>
      </c>
      <c r="H258" s="383"/>
    </row>
    <row r="259" spans="1:8" ht="12" customHeight="1">
      <c r="A259" s="365" t="str">
        <f>$D$257</f>
        <v>DA113008</v>
      </c>
      <c r="B259" s="392" t="s">
        <v>1046</v>
      </c>
      <c r="C259" s="382"/>
      <c r="D259" s="382"/>
      <c r="E259" s="391" t="s">
        <v>224</v>
      </c>
      <c r="F259" s="383" t="e">
        <v>#REF!</v>
      </c>
      <c r="G259" s="383">
        <v>351190</v>
      </c>
      <c r="H259" s="383"/>
    </row>
    <row r="260" spans="2:8" ht="12" customHeight="1">
      <c r="B260" s="386"/>
      <c r="C260" s="382"/>
      <c r="D260" s="382"/>
      <c r="E260" s="392"/>
      <c r="F260" s="383"/>
      <c r="G260" s="383"/>
      <c r="H260" s="383"/>
    </row>
    <row r="261" spans="1:8" s="384" customFormat="1" ht="12" customHeight="1">
      <c r="A261" s="365"/>
      <c r="B261" s="385" t="s">
        <v>1433</v>
      </c>
      <c r="C261" s="385" t="s">
        <v>1530</v>
      </c>
      <c r="D261" s="385" t="s">
        <v>350</v>
      </c>
      <c r="E261" s="381" t="s">
        <v>401</v>
      </c>
      <c r="F261" s="387" t="e">
        <f>SUM(F262:F270)</f>
        <v>#REF!</v>
      </c>
      <c r="G261" s="387">
        <f>SUM(G262:G270)</f>
        <v>16886484</v>
      </c>
      <c r="H261" s="387" t="e">
        <f>+G261-F261</f>
        <v>#REF!</v>
      </c>
    </row>
    <row r="262" spans="2:8" ht="12" customHeight="1">
      <c r="B262" s="382" t="s">
        <v>1466</v>
      </c>
      <c r="C262" s="385"/>
      <c r="D262" s="385"/>
      <c r="E262" s="388" t="s">
        <v>765</v>
      </c>
      <c r="F262" s="383" t="e">
        <v>#REF!</v>
      </c>
      <c r="G262" s="383">
        <v>532403</v>
      </c>
      <c r="H262" s="383" t="e">
        <f aca="true" t="shared" si="2" ref="H262:H270">+G262-F262</f>
        <v>#REF!</v>
      </c>
    </row>
    <row r="263" spans="2:8" ht="12" customHeight="1">
      <c r="B263" s="382" t="s">
        <v>1467</v>
      </c>
      <c r="C263" s="385"/>
      <c r="D263" s="385"/>
      <c r="E263" s="388" t="s">
        <v>785</v>
      </c>
      <c r="F263" s="383" t="e">
        <v>#REF!</v>
      </c>
      <c r="G263" s="383">
        <v>1667425</v>
      </c>
      <c r="H263" s="383" t="e">
        <f t="shared" si="2"/>
        <v>#REF!</v>
      </c>
    </row>
    <row r="264" spans="2:8" ht="12" customHeight="1">
      <c r="B264" s="382" t="s">
        <v>1468</v>
      </c>
      <c r="C264" s="385"/>
      <c r="D264" s="385"/>
      <c r="E264" s="388" t="s">
        <v>813</v>
      </c>
      <c r="F264" s="383" t="e">
        <v>#REF!</v>
      </c>
      <c r="G264" s="383">
        <v>0</v>
      </c>
      <c r="H264" s="383" t="e">
        <f t="shared" si="2"/>
        <v>#REF!</v>
      </c>
    </row>
    <row r="265" spans="2:8" ht="12" customHeight="1">
      <c r="B265" s="382" t="s">
        <v>853</v>
      </c>
      <c r="C265" s="385"/>
      <c r="D265" s="385"/>
      <c r="E265" s="388" t="s">
        <v>955</v>
      </c>
      <c r="F265" s="383" t="e">
        <v>#REF!</v>
      </c>
      <c r="G265" s="383">
        <v>148428</v>
      </c>
      <c r="H265" s="383" t="e">
        <f t="shared" si="2"/>
        <v>#REF!</v>
      </c>
    </row>
    <row r="266" spans="2:8" ht="12" customHeight="1">
      <c r="B266" s="382" t="s">
        <v>854</v>
      </c>
      <c r="C266" s="385"/>
      <c r="D266" s="385"/>
      <c r="E266" s="388" t="s">
        <v>956</v>
      </c>
      <c r="F266" s="383" t="e">
        <v>#REF!</v>
      </c>
      <c r="G266" s="383">
        <v>14293023</v>
      </c>
      <c r="H266" s="383" t="e">
        <f t="shared" si="2"/>
        <v>#REF!</v>
      </c>
    </row>
    <row r="267" spans="2:8" s="427" customFormat="1" ht="12" customHeight="1">
      <c r="B267" s="428" t="s">
        <v>855</v>
      </c>
      <c r="C267" s="429"/>
      <c r="D267" s="429"/>
      <c r="E267" s="430" t="s">
        <v>145</v>
      </c>
      <c r="F267" s="431" t="e">
        <v>#REF!</v>
      </c>
      <c r="G267" s="431">
        <v>0</v>
      </c>
      <c r="H267" s="431" t="e">
        <f t="shared" si="2"/>
        <v>#REF!</v>
      </c>
    </row>
    <row r="268" spans="2:8" ht="12" customHeight="1">
      <c r="B268" s="382" t="s">
        <v>856</v>
      </c>
      <c r="C268" s="385"/>
      <c r="D268" s="385"/>
      <c r="E268" s="388" t="s">
        <v>1427</v>
      </c>
      <c r="F268" s="383" t="e">
        <v>#REF!</v>
      </c>
      <c r="G268" s="383">
        <v>245205</v>
      </c>
      <c r="H268" s="383" t="e">
        <f t="shared" si="2"/>
        <v>#REF!</v>
      </c>
    </row>
    <row r="269" spans="2:8" ht="12" customHeight="1">
      <c r="B269" s="382" t="s">
        <v>118</v>
      </c>
      <c r="C269" s="385"/>
      <c r="D269" s="385"/>
      <c r="E269" s="388" t="s">
        <v>565</v>
      </c>
      <c r="F269" s="383" t="e">
        <v>#REF!</v>
      </c>
      <c r="G269" s="383">
        <v>0</v>
      </c>
      <c r="H269" s="383" t="e">
        <f t="shared" si="2"/>
        <v>#REF!</v>
      </c>
    </row>
    <row r="270" spans="2:8" ht="12" customHeight="1">
      <c r="B270" s="382" t="s">
        <v>119</v>
      </c>
      <c r="C270" s="385"/>
      <c r="D270" s="385"/>
      <c r="E270" s="388" t="s">
        <v>1209</v>
      </c>
      <c r="F270" s="383" t="e">
        <v>#REF!</v>
      </c>
      <c r="G270" s="383">
        <v>0</v>
      </c>
      <c r="H270" s="383" t="e">
        <f t="shared" si="2"/>
        <v>#REF!</v>
      </c>
    </row>
    <row r="271" spans="2:8" ht="12" customHeight="1">
      <c r="B271" s="421"/>
      <c r="C271" s="382"/>
      <c r="D271" s="382"/>
      <c r="E271" s="392"/>
      <c r="F271" s="383"/>
      <c r="G271" s="383"/>
      <c r="H271" s="383"/>
    </row>
    <row r="272" spans="1:8" s="384" customFormat="1" ht="12" customHeight="1">
      <c r="A272" s="365"/>
      <c r="B272" s="385" t="s">
        <v>1433</v>
      </c>
      <c r="C272" s="385" t="s">
        <v>405</v>
      </c>
      <c r="D272" s="385" t="s">
        <v>351</v>
      </c>
      <c r="E272" s="381" t="s">
        <v>49</v>
      </c>
      <c r="F272" s="387" t="e">
        <f>SUM(F273:F278)</f>
        <v>#REF!</v>
      </c>
      <c r="G272" s="387">
        <f>SUM(G273:G278)</f>
        <v>1382194</v>
      </c>
      <c r="H272" s="387" t="e">
        <f>#REF!-G272</f>
        <v>#REF!</v>
      </c>
    </row>
    <row r="273" spans="2:9" ht="12" customHeight="1">
      <c r="B273" s="382" t="s">
        <v>1466</v>
      </c>
      <c r="C273" s="382"/>
      <c r="D273" s="382"/>
      <c r="E273" s="388" t="s">
        <v>765</v>
      </c>
      <c r="F273" s="383" t="e">
        <v>#REF!</v>
      </c>
      <c r="G273" s="383">
        <v>869181</v>
      </c>
      <c r="H273" s="383"/>
      <c r="I273" s="476" t="e">
        <f>+G273-F273</f>
        <v>#REF!</v>
      </c>
    </row>
    <row r="274" spans="2:9" ht="12" customHeight="1">
      <c r="B274" s="382" t="s">
        <v>1467</v>
      </c>
      <c r="C274" s="382"/>
      <c r="D274" s="382"/>
      <c r="E274" s="388" t="s">
        <v>785</v>
      </c>
      <c r="F274" s="383" t="e">
        <v>#REF!</v>
      </c>
      <c r="G274" s="383">
        <v>206268</v>
      </c>
      <c r="H274" s="383"/>
      <c r="I274" s="476" t="e">
        <f>+G274-F274</f>
        <v>#REF!</v>
      </c>
    </row>
    <row r="275" spans="2:8" ht="12" customHeight="1">
      <c r="B275" s="382" t="s">
        <v>1468</v>
      </c>
      <c r="C275" s="382"/>
      <c r="D275" s="382"/>
      <c r="E275" s="388" t="s">
        <v>813</v>
      </c>
      <c r="F275" s="383" t="e">
        <v>#REF!</v>
      </c>
      <c r="G275" s="383">
        <v>0</v>
      </c>
      <c r="H275" s="383"/>
    </row>
    <row r="276" spans="2:8" s="423" customFormat="1" ht="12" customHeight="1">
      <c r="B276" s="425" t="s">
        <v>50</v>
      </c>
      <c r="C276" s="425"/>
      <c r="D276" s="425"/>
      <c r="E276" s="432" t="s">
        <v>49</v>
      </c>
      <c r="F276" s="433" t="e">
        <v>#REF!</v>
      </c>
      <c r="G276" s="433">
        <v>300000</v>
      </c>
      <c r="H276" s="433"/>
    </row>
    <row r="277" spans="2:8" ht="12" customHeight="1">
      <c r="B277" s="382" t="s">
        <v>856</v>
      </c>
      <c r="C277" s="382"/>
      <c r="D277" s="382"/>
      <c r="E277" s="388" t="s">
        <v>1427</v>
      </c>
      <c r="F277" s="383" t="e">
        <v>#REF!</v>
      </c>
      <c r="G277" s="383">
        <v>4901</v>
      </c>
      <c r="H277" s="383"/>
    </row>
    <row r="278" spans="2:8" ht="12" customHeight="1">
      <c r="B278" s="382" t="s">
        <v>118</v>
      </c>
      <c r="C278" s="382"/>
      <c r="D278" s="382"/>
      <c r="E278" s="388" t="s">
        <v>565</v>
      </c>
      <c r="F278" s="383" t="e">
        <v>#REF!</v>
      </c>
      <c r="G278" s="383">
        <v>1844</v>
      </c>
      <c r="H278" s="383"/>
    </row>
    <row r="279" spans="2:8" ht="12" customHeight="1">
      <c r="B279" s="434"/>
      <c r="C279" s="382"/>
      <c r="D279" s="382"/>
      <c r="E279" s="392"/>
      <c r="F279" s="383"/>
      <c r="G279" s="383"/>
      <c r="H279" s="383"/>
    </row>
    <row r="280" spans="1:8" s="384" customFormat="1" ht="12" customHeight="1">
      <c r="A280" s="365"/>
      <c r="B280" s="385" t="s">
        <v>1433</v>
      </c>
      <c r="C280" s="385" t="s">
        <v>1447</v>
      </c>
      <c r="D280" s="385" t="s">
        <v>1447</v>
      </c>
      <c r="E280" s="381" t="s">
        <v>1449</v>
      </c>
      <c r="F280" s="387"/>
      <c r="G280" s="387"/>
      <c r="H280" s="387"/>
    </row>
    <row r="281" spans="1:8" ht="12" customHeight="1">
      <c r="A281" s="365" t="str">
        <f>D280</f>
        <v>AS0402</v>
      </c>
      <c r="B281" s="421" t="s">
        <v>1047</v>
      </c>
      <c r="C281" s="382"/>
      <c r="D281" s="382"/>
      <c r="E281" s="392"/>
      <c r="F281" s="383" t="e">
        <v>#REF!</v>
      </c>
      <c r="G281" s="383" t="e">
        <f>+#REF!</f>
        <v>#REF!</v>
      </c>
      <c r="H281" s="383"/>
    </row>
    <row r="282" spans="2:8" ht="12" customHeight="1">
      <c r="B282" s="421"/>
      <c r="C282" s="382"/>
      <c r="D282" s="382"/>
      <c r="E282" s="392"/>
      <c r="F282" s="383"/>
      <c r="G282" s="383"/>
      <c r="H282" s="383"/>
    </row>
    <row r="283" spans="1:8" s="384" customFormat="1" ht="12" customHeight="1">
      <c r="A283" s="365"/>
      <c r="B283" s="385" t="s">
        <v>1433</v>
      </c>
      <c r="C283" s="385" t="s">
        <v>583</v>
      </c>
      <c r="D283" s="385" t="s">
        <v>583</v>
      </c>
      <c r="E283" s="381" t="s">
        <v>1357</v>
      </c>
      <c r="F283" s="387"/>
      <c r="G283" s="387"/>
      <c r="H283" s="387"/>
    </row>
    <row r="284" spans="1:8" ht="12" customHeight="1">
      <c r="A284" s="365" t="str">
        <f>D283</f>
        <v>AS0602</v>
      </c>
      <c r="B284" s="421" t="s">
        <v>1358</v>
      </c>
      <c r="C284" s="382"/>
      <c r="D284" s="382"/>
      <c r="E284" s="388"/>
      <c r="F284" s="383" t="e">
        <v>#REF!</v>
      </c>
      <c r="G284" s="383" t="e">
        <f>+#REF!</f>
        <v>#REF!</v>
      </c>
      <c r="H284" s="383"/>
    </row>
    <row r="285" spans="2:8" ht="12" customHeight="1">
      <c r="B285" s="434"/>
      <c r="C285" s="382"/>
      <c r="D285" s="382"/>
      <c r="E285" s="392"/>
      <c r="F285" s="383"/>
      <c r="G285" s="383"/>
      <c r="H285" s="383"/>
    </row>
    <row r="286" spans="1:8" s="384" customFormat="1" ht="12" customHeight="1">
      <c r="A286" s="365"/>
      <c r="B286" s="385" t="s">
        <v>1433</v>
      </c>
      <c r="C286" s="385" t="s">
        <v>584</v>
      </c>
      <c r="D286" s="385" t="s">
        <v>584</v>
      </c>
      <c r="E286" s="381" t="s">
        <v>235</v>
      </c>
      <c r="F286" s="387"/>
      <c r="G286" s="387"/>
      <c r="H286" s="387"/>
    </row>
    <row r="287" spans="1:8" ht="12" customHeight="1">
      <c r="A287" s="365" t="str">
        <f>D286</f>
        <v>AS0702</v>
      </c>
      <c r="B287" s="421" t="s">
        <v>18</v>
      </c>
      <c r="C287" s="382"/>
      <c r="D287" s="382"/>
      <c r="E287" s="392"/>
      <c r="F287" s="383" t="e">
        <v>#REF!</v>
      </c>
      <c r="G287" s="383" t="e">
        <f>+#REF!</f>
        <v>#REF!</v>
      </c>
      <c r="H287" s="383"/>
    </row>
    <row r="288" spans="2:8" ht="12" customHeight="1">
      <c r="B288" s="434"/>
      <c r="C288" s="382"/>
      <c r="D288" s="382"/>
      <c r="E288" s="392"/>
      <c r="F288" s="383"/>
      <c r="G288" s="383"/>
      <c r="H288" s="383"/>
    </row>
    <row r="289" spans="1:8" s="384" customFormat="1" ht="12" customHeight="1">
      <c r="A289" s="365"/>
      <c r="B289" s="385" t="s">
        <v>1433</v>
      </c>
      <c r="C289" s="385" t="s">
        <v>236</v>
      </c>
      <c r="D289" s="385" t="s">
        <v>236</v>
      </c>
      <c r="E289" s="381" t="s">
        <v>1285</v>
      </c>
      <c r="F289" s="387"/>
      <c r="G289" s="387"/>
      <c r="H289" s="387"/>
    </row>
    <row r="290" spans="1:8" ht="12" customHeight="1">
      <c r="A290" s="365" t="str">
        <f>D289</f>
        <v>AS0902</v>
      </c>
      <c r="B290" s="421" t="s">
        <v>455</v>
      </c>
      <c r="C290" s="385"/>
      <c r="D290" s="385"/>
      <c r="E290" s="395"/>
      <c r="F290" s="383" t="e">
        <v>#REF!</v>
      </c>
      <c r="G290" s="383" t="e">
        <f>+#REF!</f>
        <v>#REF!</v>
      </c>
      <c r="H290" s="383"/>
    </row>
    <row r="291" spans="2:8" ht="12" customHeight="1">
      <c r="B291" s="434"/>
      <c r="C291" s="382"/>
      <c r="D291" s="382"/>
      <c r="E291" s="392"/>
      <c r="F291" s="383"/>
      <c r="G291" s="383"/>
      <c r="H291" s="383"/>
    </row>
    <row r="292" spans="1:8" s="384" customFormat="1" ht="12" customHeight="1">
      <c r="A292" s="365"/>
      <c r="B292" s="385" t="s">
        <v>1433</v>
      </c>
      <c r="C292" s="385" t="s">
        <v>1399</v>
      </c>
      <c r="D292" s="385" t="s">
        <v>1399</v>
      </c>
      <c r="E292" s="381" t="s">
        <v>504</v>
      </c>
      <c r="F292" s="387"/>
      <c r="G292" s="387"/>
      <c r="H292" s="387"/>
    </row>
    <row r="293" spans="1:8" ht="12" customHeight="1">
      <c r="A293" s="365" t="str">
        <f>D292</f>
        <v>AS1002</v>
      </c>
      <c r="B293" s="421" t="s">
        <v>19</v>
      </c>
      <c r="C293" s="382"/>
      <c r="D293" s="382"/>
      <c r="E293" s="392"/>
      <c r="F293" s="383" t="e">
        <v>#REF!</v>
      </c>
      <c r="G293" s="383" t="e">
        <f>+#REF!</f>
        <v>#REF!</v>
      </c>
      <c r="H293" s="383"/>
    </row>
    <row r="294" spans="2:8" ht="12" customHeight="1">
      <c r="B294" s="434"/>
      <c r="C294" s="382"/>
      <c r="D294" s="382"/>
      <c r="E294" s="392"/>
      <c r="F294" s="383"/>
      <c r="G294" s="383"/>
      <c r="H294" s="383"/>
    </row>
    <row r="295" spans="1:8" s="384" customFormat="1" ht="12" customHeight="1">
      <c r="A295" s="365"/>
      <c r="B295" s="385" t="s">
        <v>1433</v>
      </c>
      <c r="C295" s="385" t="s">
        <v>505</v>
      </c>
      <c r="D295" s="385" t="s">
        <v>1260</v>
      </c>
      <c r="E295" s="381" t="s">
        <v>921</v>
      </c>
      <c r="F295" s="387" t="e">
        <f>SUM(F296:F301)</f>
        <v>#REF!</v>
      </c>
      <c r="G295" s="387">
        <f>SUM(G296:G301)</f>
        <v>3468381</v>
      </c>
      <c r="H295" s="387" t="e">
        <f>#REF!-G295</f>
        <v>#REF!</v>
      </c>
    </row>
    <row r="296" spans="2:9" ht="12" customHeight="1">
      <c r="B296" s="382" t="s">
        <v>1466</v>
      </c>
      <c r="C296" s="382"/>
      <c r="D296" s="382"/>
      <c r="E296" s="388" t="s">
        <v>765</v>
      </c>
      <c r="F296" s="383" t="e">
        <v>#REF!</v>
      </c>
      <c r="G296" s="383">
        <v>1623084</v>
      </c>
      <c r="H296" s="383"/>
      <c r="I296" s="476" t="e">
        <f aca="true" t="shared" si="3" ref="I296:I301">+G296-F296</f>
        <v>#REF!</v>
      </c>
    </row>
    <row r="297" spans="2:9" ht="12" customHeight="1">
      <c r="B297" s="382" t="s">
        <v>1467</v>
      </c>
      <c r="C297" s="382"/>
      <c r="D297" s="382"/>
      <c r="E297" s="388" t="s">
        <v>785</v>
      </c>
      <c r="F297" s="383" t="e">
        <v>#REF!</v>
      </c>
      <c r="G297" s="383">
        <f>723279-50</f>
        <v>723229</v>
      </c>
      <c r="H297" s="383"/>
      <c r="I297" s="476" t="e">
        <f t="shared" si="3"/>
        <v>#REF!</v>
      </c>
    </row>
    <row r="298" spans="2:9" ht="12" customHeight="1">
      <c r="B298" s="382" t="s">
        <v>51</v>
      </c>
      <c r="C298" s="382"/>
      <c r="D298" s="382"/>
      <c r="E298" s="388" t="s">
        <v>499</v>
      </c>
      <c r="F298" s="383" t="e">
        <v>#REF!</v>
      </c>
      <c r="G298" s="383">
        <v>1095000</v>
      </c>
      <c r="H298" s="383"/>
      <c r="I298" s="476" t="e">
        <f t="shared" si="3"/>
        <v>#REF!</v>
      </c>
    </row>
    <row r="299" spans="2:9" ht="12" customHeight="1">
      <c r="B299" s="382" t="s">
        <v>740</v>
      </c>
      <c r="C299" s="382"/>
      <c r="D299" s="382"/>
      <c r="E299" s="388" t="s">
        <v>500</v>
      </c>
      <c r="F299" s="383" t="e">
        <v>#REF!</v>
      </c>
      <c r="G299" s="383">
        <v>13721</v>
      </c>
      <c r="H299" s="383"/>
      <c r="I299" s="476" t="e">
        <f t="shared" si="3"/>
        <v>#REF!</v>
      </c>
    </row>
    <row r="300" spans="2:9" ht="12" customHeight="1">
      <c r="B300" s="382" t="s">
        <v>856</v>
      </c>
      <c r="C300" s="382"/>
      <c r="D300" s="382"/>
      <c r="E300" s="388" t="s">
        <v>1427</v>
      </c>
      <c r="F300" s="383" t="e">
        <v>#REF!</v>
      </c>
      <c r="G300" s="383">
        <v>9438</v>
      </c>
      <c r="H300" s="383"/>
      <c r="I300" s="476" t="e">
        <f t="shared" si="3"/>
        <v>#REF!</v>
      </c>
    </row>
    <row r="301" spans="2:9" ht="12" customHeight="1">
      <c r="B301" s="382" t="s">
        <v>118</v>
      </c>
      <c r="C301" s="382"/>
      <c r="D301" s="382"/>
      <c r="E301" s="388" t="s">
        <v>565</v>
      </c>
      <c r="F301" s="383" t="e">
        <v>#REF!</v>
      </c>
      <c r="G301" s="383">
        <v>3909</v>
      </c>
      <c r="H301" s="383"/>
      <c r="I301" s="476" t="e">
        <f t="shared" si="3"/>
        <v>#REF!</v>
      </c>
    </row>
    <row r="302" spans="2:8" ht="12" customHeight="1">
      <c r="B302" s="421"/>
      <c r="C302" s="382"/>
      <c r="D302" s="382"/>
      <c r="E302" s="392"/>
      <c r="F302" s="383"/>
      <c r="G302" s="383"/>
      <c r="H302" s="383"/>
    </row>
    <row r="303" spans="1:8" s="384" customFormat="1" ht="12" customHeight="1">
      <c r="A303" s="365"/>
      <c r="B303" s="385" t="s">
        <v>1433</v>
      </c>
      <c r="C303" s="385" t="s">
        <v>507</v>
      </c>
      <c r="D303" s="385" t="s">
        <v>1261</v>
      </c>
      <c r="E303" s="381" t="s">
        <v>446</v>
      </c>
      <c r="F303" s="387" t="e">
        <f>+F304+F305</f>
        <v>#REF!</v>
      </c>
      <c r="G303" s="387">
        <f>+G304+G305</f>
        <v>7832530</v>
      </c>
      <c r="H303" s="387" t="e">
        <f>#REF!-G303</f>
        <v>#REF!</v>
      </c>
    </row>
    <row r="304" spans="1:8" s="384" customFormat="1" ht="12" customHeight="1">
      <c r="A304" s="365"/>
      <c r="B304" s="421" t="s">
        <v>1467</v>
      </c>
      <c r="C304" s="385"/>
      <c r="D304" s="385"/>
      <c r="E304" s="388" t="s">
        <v>785</v>
      </c>
      <c r="F304" s="383" t="e">
        <v>#REF!</v>
      </c>
      <c r="G304" s="383">
        <v>1712530</v>
      </c>
      <c r="H304" s="383"/>
    </row>
    <row r="305" spans="1:8" s="384" customFormat="1" ht="12" customHeight="1">
      <c r="A305" s="365"/>
      <c r="B305" s="421" t="s">
        <v>962</v>
      </c>
      <c r="C305" s="382"/>
      <c r="D305" s="382"/>
      <c r="E305" s="422" t="s">
        <v>1308</v>
      </c>
      <c r="F305" s="383" t="e">
        <v>#REF!</v>
      </c>
      <c r="G305" s="383">
        <v>6120000</v>
      </c>
      <c r="H305" s="383"/>
    </row>
    <row r="306" spans="2:8" ht="12" customHeight="1">
      <c r="B306" s="421"/>
      <c r="C306" s="382"/>
      <c r="D306" s="382"/>
      <c r="E306" s="392"/>
      <c r="F306" s="383"/>
      <c r="G306" s="383"/>
      <c r="H306" s="383"/>
    </row>
    <row r="307" spans="1:8" s="384" customFormat="1" ht="12" customHeight="1">
      <c r="A307" s="365"/>
      <c r="B307" s="385" t="s">
        <v>1433</v>
      </c>
      <c r="C307" s="385" t="s">
        <v>137</v>
      </c>
      <c r="D307" s="385" t="s">
        <v>1262</v>
      </c>
      <c r="E307" s="381" t="s">
        <v>21</v>
      </c>
      <c r="F307" s="387" t="e">
        <f>SUM(F308:F313)</f>
        <v>#REF!</v>
      </c>
      <c r="G307" s="387">
        <f>SUM(G308:G313)</f>
        <v>11555379</v>
      </c>
      <c r="H307" s="387" t="e">
        <f>#REF!-G307</f>
        <v>#REF!</v>
      </c>
    </row>
    <row r="308" spans="2:8" ht="12" customHeight="1">
      <c r="B308" s="382" t="s">
        <v>1466</v>
      </c>
      <c r="C308" s="382"/>
      <c r="D308" s="382"/>
      <c r="E308" s="388" t="s">
        <v>765</v>
      </c>
      <c r="F308" s="383" t="e">
        <v>#REF!</v>
      </c>
      <c r="G308" s="383">
        <v>264742</v>
      </c>
      <c r="H308" s="383"/>
    </row>
    <row r="309" spans="2:8" ht="12" customHeight="1">
      <c r="B309" s="382" t="s">
        <v>1467</v>
      </c>
      <c r="C309" s="382"/>
      <c r="D309" s="382"/>
      <c r="E309" s="388" t="s">
        <v>785</v>
      </c>
      <c r="F309" s="383" t="e">
        <v>#REF!</v>
      </c>
      <c r="G309" s="383">
        <v>4960463</v>
      </c>
      <c r="H309" s="383"/>
    </row>
    <row r="310" spans="2:8" ht="12" customHeight="1">
      <c r="B310" s="382" t="s">
        <v>853</v>
      </c>
      <c r="C310" s="382"/>
      <c r="D310" s="382"/>
      <c r="E310" s="388" t="s">
        <v>66</v>
      </c>
      <c r="F310" s="383" t="e">
        <v>#REF!</v>
      </c>
      <c r="G310" s="383">
        <v>5815000</v>
      </c>
      <c r="H310" s="383"/>
    </row>
    <row r="311" spans="2:8" s="423" customFormat="1" ht="12" customHeight="1">
      <c r="B311" s="425" t="s">
        <v>67</v>
      </c>
      <c r="C311" s="425"/>
      <c r="D311" s="425"/>
      <c r="E311" s="432" t="s">
        <v>131</v>
      </c>
      <c r="F311" s="433" t="e">
        <v>#REF!</v>
      </c>
      <c r="G311" s="433">
        <v>500000</v>
      </c>
      <c r="H311" s="433"/>
    </row>
    <row r="312" spans="2:8" ht="12" customHeight="1">
      <c r="B312" s="382" t="s">
        <v>856</v>
      </c>
      <c r="C312" s="382"/>
      <c r="D312" s="382"/>
      <c r="E312" s="388" t="s">
        <v>1427</v>
      </c>
      <c r="F312" s="383" t="e">
        <v>#REF!</v>
      </c>
      <c r="G312" s="383">
        <v>10850</v>
      </c>
      <c r="H312" s="383"/>
    </row>
    <row r="313" spans="2:8" ht="12" customHeight="1">
      <c r="B313" s="382" t="s">
        <v>118</v>
      </c>
      <c r="C313" s="382"/>
      <c r="D313" s="382"/>
      <c r="E313" s="388" t="s">
        <v>565</v>
      </c>
      <c r="F313" s="383" t="e">
        <v>#REF!</v>
      </c>
      <c r="G313" s="383">
        <v>4324</v>
      </c>
      <c r="H313" s="383"/>
    </row>
    <row r="314" spans="2:8" s="435" customFormat="1" ht="12" customHeight="1">
      <c r="B314" s="421"/>
      <c r="C314" s="382"/>
      <c r="D314" s="382"/>
      <c r="E314" s="392"/>
      <c r="F314" s="383"/>
      <c r="G314" s="383"/>
      <c r="H314" s="383"/>
    </row>
    <row r="315" spans="1:8" s="384" customFormat="1" ht="12" customHeight="1">
      <c r="A315" s="365"/>
      <c r="B315" s="385" t="s">
        <v>1433</v>
      </c>
      <c r="C315" s="385" t="s">
        <v>132</v>
      </c>
      <c r="D315" s="385" t="s">
        <v>960</v>
      </c>
      <c r="E315" s="381" t="s">
        <v>133</v>
      </c>
      <c r="F315" s="387"/>
      <c r="G315" s="387"/>
      <c r="H315" s="387"/>
    </row>
    <row r="316" spans="2:8" s="435" customFormat="1" ht="12" customHeight="1">
      <c r="B316" s="382" t="s">
        <v>1467</v>
      </c>
      <c r="C316" s="382"/>
      <c r="D316" s="382"/>
      <c r="E316" s="388" t="s">
        <v>785</v>
      </c>
      <c r="F316" s="383" t="e">
        <v>#REF!</v>
      </c>
      <c r="G316" s="383" t="e">
        <f>+#REF!</f>
        <v>#REF!</v>
      </c>
      <c r="H316" s="383" t="e">
        <f>+G316-F316</f>
        <v>#REF!</v>
      </c>
    </row>
    <row r="317" spans="2:8" s="435" customFormat="1" ht="12" customHeight="1">
      <c r="B317" s="385"/>
      <c r="C317" s="385"/>
      <c r="D317" s="385"/>
      <c r="E317" s="434"/>
      <c r="F317" s="383"/>
      <c r="G317" s="383"/>
      <c r="H317" s="383"/>
    </row>
    <row r="318" spans="1:8" s="436" customFormat="1" ht="12" customHeight="1">
      <c r="A318" s="435"/>
      <c r="B318" s="385"/>
      <c r="C318" s="385"/>
      <c r="D318" s="385"/>
      <c r="E318" s="406" t="s">
        <v>394</v>
      </c>
      <c r="F318" s="387" t="e">
        <f>+F319+F324+F326+F330+F334+F341</f>
        <v>#REF!</v>
      </c>
      <c r="G318" s="387" t="e">
        <f>G320+G321+G324+G327+G328+G331+G332+G335+G336+G337+G338+G341+G344+G345+G346</f>
        <v>#REF!</v>
      </c>
      <c r="H318" s="387"/>
    </row>
    <row r="319" spans="2:8" ht="12" customHeight="1">
      <c r="B319" s="385" t="s">
        <v>1433</v>
      </c>
      <c r="C319" s="385" t="s">
        <v>395</v>
      </c>
      <c r="D319" s="385" t="s">
        <v>395</v>
      </c>
      <c r="E319" s="381" t="s">
        <v>1585</v>
      </c>
      <c r="F319" s="387" t="e">
        <f>+F320+F321</f>
        <v>#REF!</v>
      </c>
      <c r="G319" s="387"/>
      <c r="H319" s="387"/>
    </row>
    <row r="320" spans="2:8" s="423" customFormat="1" ht="12" customHeight="1">
      <c r="B320" s="425" t="s">
        <v>396</v>
      </c>
      <c r="C320" s="437"/>
      <c r="D320" s="437"/>
      <c r="E320" s="438" t="s">
        <v>397</v>
      </c>
      <c r="F320" s="433" t="e">
        <v>#REF!</v>
      </c>
      <c r="G320" s="433"/>
      <c r="H320" s="433"/>
    </row>
    <row r="321" spans="1:8" s="435" customFormat="1" ht="12" customHeight="1">
      <c r="A321" s="435" t="str">
        <f>D319</f>
        <v>AS2202</v>
      </c>
      <c r="B321" s="421" t="s">
        <v>398</v>
      </c>
      <c r="C321" s="382"/>
      <c r="D321" s="382"/>
      <c r="E321" s="388" t="s">
        <v>1585</v>
      </c>
      <c r="F321" s="383" t="e">
        <v>#REF!</v>
      </c>
      <c r="G321" s="383" t="e">
        <f>#REF!</f>
        <v>#REF!</v>
      </c>
      <c r="H321" s="383"/>
    </row>
    <row r="322" spans="2:8" s="435" customFormat="1" ht="12" customHeight="1">
      <c r="B322" s="421"/>
      <c r="C322" s="382"/>
      <c r="D322" s="382"/>
      <c r="E322" s="388"/>
      <c r="F322" s="383"/>
      <c r="G322" s="383"/>
      <c r="H322" s="383"/>
    </row>
    <row r="323" spans="1:8" s="436" customFormat="1" ht="12" customHeight="1">
      <c r="A323" s="435"/>
      <c r="B323" s="385" t="s">
        <v>1433</v>
      </c>
      <c r="C323" s="385" t="s">
        <v>399</v>
      </c>
      <c r="D323" s="385" t="s">
        <v>399</v>
      </c>
      <c r="E323" s="381" t="s">
        <v>709</v>
      </c>
      <c r="F323" s="439"/>
      <c r="G323" s="439"/>
      <c r="H323" s="439"/>
    </row>
    <row r="324" spans="1:8" s="435" customFormat="1" ht="12" customHeight="1">
      <c r="A324" s="435" t="str">
        <f>D323</f>
        <v>AS2302</v>
      </c>
      <c r="B324" s="421" t="s">
        <v>710</v>
      </c>
      <c r="C324" s="382"/>
      <c r="D324" s="382"/>
      <c r="E324" s="388" t="s">
        <v>146</v>
      </c>
      <c r="F324" s="383" t="e">
        <v>#REF!</v>
      </c>
      <c r="G324" s="383" t="e">
        <f>#REF!</f>
        <v>#REF!</v>
      </c>
      <c r="H324" s="383"/>
    </row>
    <row r="325" spans="2:8" s="435" customFormat="1" ht="12" customHeight="1">
      <c r="B325" s="421"/>
      <c r="C325" s="382"/>
      <c r="D325" s="382"/>
      <c r="E325" s="388"/>
      <c r="F325" s="383"/>
      <c r="G325" s="383"/>
      <c r="H325" s="383"/>
    </row>
    <row r="326" spans="1:8" s="436" customFormat="1" ht="12" customHeight="1">
      <c r="A326" s="435"/>
      <c r="B326" s="385" t="s">
        <v>1433</v>
      </c>
      <c r="C326" s="385" t="s">
        <v>147</v>
      </c>
      <c r="D326" s="385" t="s">
        <v>147</v>
      </c>
      <c r="E326" s="381" t="s">
        <v>769</v>
      </c>
      <c r="F326" s="387" t="e">
        <f>SUM(F327:F328)</f>
        <v>#REF!</v>
      </c>
      <c r="G326" s="387"/>
      <c r="H326" s="387"/>
    </row>
    <row r="327" spans="1:8" s="442" customFormat="1" ht="12" customHeight="1">
      <c r="A327" s="440"/>
      <c r="B327" s="424" t="s">
        <v>1467</v>
      </c>
      <c r="C327" s="437"/>
      <c r="D327" s="437"/>
      <c r="E327" s="432" t="s">
        <v>785</v>
      </c>
      <c r="F327" s="441" t="e">
        <v>#REF!</v>
      </c>
      <c r="G327" s="441">
        <v>23596</v>
      </c>
      <c r="H327" s="441"/>
    </row>
    <row r="328" spans="1:8" s="435" customFormat="1" ht="12" customHeight="1">
      <c r="A328" s="435" t="str">
        <f>D326</f>
        <v>AS2402</v>
      </c>
      <c r="B328" s="421" t="s">
        <v>1484</v>
      </c>
      <c r="C328" s="382"/>
      <c r="D328" s="382"/>
      <c r="E328" s="388" t="s">
        <v>769</v>
      </c>
      <c r="F328" s="383" t="e">
        <v>#REF!</v>
      </c>
      <c r="G328" s="383" t="e">
        <f>#REF!-G327</f>
        <v>#REF!</v>
      </c>
      <c r="H328" s="383"/>
    </row>
    <row r="329" spans="2:8" s="435" customFormat="1" ht="12" customHeight="1">
      <c r="B329" s="421"/>
      <c r="C329" s="382"/>
      <c r="D329" s="382"/>
      <c r="E329" s="388"/>
      <c r="F329" s="383"/>
      <c r="G329" s="383"/>
      <c r="H329" s="383"/>
    </row>
    <row r="330" spans="1:8" s="436" customFormat="1" ht="12" customHeight="1">
      <c r="A330" s="435"/>
      <c r="B330" s="385" t="s">
        <v>1433</v>
      </c>
      <c r="C330" s="385" t="s">
        <v>1485</v>
      </c>
      <c r="D330" s="385" t="s">
        <v>1485</v>
      </c>
      <c r="E330" s="381" t="s">
        <v>1301</v>
      </c>
      <c r="F330" s="387" t="e">
        <f>SUM(F331:F332)</f>
        <v>#REF!</v>
      </c>
      <c r="G330" s="387"/>
      <c r="H330" s="387"/>
    </row>
    <row r="331" spans="1:8" s="442" customFormat="1" ht="12" customHeight="1">
      <c r="A331" s="440"/>
      <c r="B331" s="425" t="s">
        <v>1486</v>
      </c>
      <c r="C331" s="437"/>
      <c r="D331" s="437"/>
      <c r="E331" s="438" t="s">
        <v>1487</v>
      </c>
      <c r="F331" s="441" t="e">
        <v>#REF!</v>
      </c>
      <c r="G331" s="441"/>
      <c r="H331" s="441"/>
    </row>
    <row r="332" spans="1:8" s="435" customFormat="1" ht="12" customHeight="1">
      <c r="A332" s="435" t="str">
        <f>D330</f>
        <v>AS2702</v>
      </c>
      <c r="B332" s="421" t="s">
        <v>1488</v>
      </c>
      <c r="C332" s="382"/>
      <c r="D332" s="382"/>
      <c r="E332" s="388" t="s">
        <v>1313</v>
      </c>
      <c r="F332" s="383" t="e">
        <v>#REF!</v>
      </c>
      <c r="G332" s="383" t="e">
        <f>#REF!</f>
        <v>#REF!</v>
      </c>
      <c r="H332" s="383"/>
    </row>
    <row r="333" spans="2:8" s="435" customFormat="1" ht="12" customHeight="1">
      <c r="B333" s="421"/>
      <c r="C333" s="382"/>
      <c r="D333" s="382"/>
      <c r="E333" s="388"/>
      <c r="F333" s="383"/>
      <c r="G333" s="383"/>
      <c r="H333" s="383"/>
    </row>
    <row r="334" spans="1:8" s="436" customFormat="1" ht="12" customHeight="1">
      <c r="A334" s="435"/>
      <c r="B334" s="434" t="s">
        <v>1433</v>
      </c>
      <c r="C334" s="385" t="s">
        <v>1336</v>
      </c>
      <c r="D334" s="385" t="s">
        <v>961</v>
      </c>
      <c r="E334" s="381" t="s">
        <v>204</v>
      </c>
      <c r="F334" s="387" t="e">
        <f>SUM(F335:F338)</f>
        <v>#REF!</v>
      </c>
      <c r="G334" s="387"/>
      <c r="H334" s="387" t="e">
        <f>SUM(G335:G338)-#REF!</f>
        <v>#REF!</v>
      </c>
    </row>
    <row r="335" spans="1:9" s="436" customFormat="1" ht="12" customHeight="1">
      <c r="A335" s="435"/>
      <c r="B335" s="421" t="s">
        <v>1466</v>
      </c>
      <c r="C335" s="385"/>
      <c r="D335" s="385"/>
      <c r="E335" s="388" t="s">
        <v>765</v>
      </c>
      <c r="F335" s="443" t="e">
        <v>#REF!</v>
      </c>
      <c r="G335" s="443">
        <v>105000</v>
      </c>
      <c r="H335" s="443"/>
      <c r="I335" s="553" t="e">
        <f>+G335-F335</f>
        <v>#REF!</v>
      </c>
    </row>
    <row r="336" spans="1:9" s="436" customFormat="1" ht="12" customHeight="1">
      <c r="A336" s="435"/>
      <c r="B336" s="421" t="s">
        <v>1467</v>
      </c>
      <c r="C336" s="385"/>
      <c r="D336" s="385"/>
      <c r="E336" s="388" t="s">
        <v>785</v>
      </c>
      <c r="F336" s="443" t="e">
        <v>#REF!</v>
      </c>
      <c r="G336" s="443">
        <v>573019</v>
      </c>
      <c r="H336" s="443"/>
      <c r="I336" s="553" t="e">
        <f>+G336-F336</f>
        <v>#REF!</v>
      </c>
    </row>
    <row r="337" spans="1:9" s="436" customFormat="1" ht="12" customHeight="1">
      <c r="A337" s="435"/>
      <c r="B337" s="421" t="s">
        <v>118</v>
      </c>
      <c r="C337" s="385"/>
      <c r="D337" s="385"/>
      <c r="E337" s="388" t="s">
        <v>565</v>
      </c>
      <c r="F337" s="443" t="e">
        <v>#REF!</v>
      </c>
      <c r="G337" s="443">
        <v>71000</v>
      </c>
      <c r="H337" s="443"/>
      <c r="I337" s="553" t="e">
        <f>+G337-F337</f>
        <v>#REF!</v>
      </c>
    </row>
    <row r="338" spans="2:9" s="435" customFormat="1" ht="12" customHeight="1">
      <c r="B338" s="421" t="s">
        <v>1046</v>
      </c>
      <c r="C338" s="382"/>
      <c r="D338" s="382"/>
      <c r="E338" s="388" t="s">
        <v>205</v>
      </c>
      <c r="F338" s="383" t="e">
        <v>#REF!</v>
      </c>
      <c r="G338" s="383" t="e">
        <f>#REF!-G335-G336-G337</f>
        <v>#REF!</v>
      </c>
      <c r="H338" s="383"/>
      <c r="I338" s="553" t="e">
        <f>+G338-F338</f>
        <v>#REF!</v>
      </c>
    </row>
    <row r="339" spans="2:8" s="435" customFormat="1" ht="12" customHeight="1">
      <c r="B339" s="421"/>
      <c r="C339" s="382"/>
      <c r="D339" s="382"/>
      <c r="E339" s="388"/>
      <c r="F339" s="383"/>
      <c r="G339" s="383"/>
      <c r="H339" s="383"/>
    </row>
    <row r="340" spans="1:8" s="436" customFormat="1" ht="12" customHeight="1">
      <c r="A340" s="435"/>
      <c r="B340" s="434" t="s">
        <v>1433</v>
      </c>
      <c r="C340" s="385" t="s">
        <v>206</v>
      </c>
      <c r="D340" s="385" t="s">
        <v>206</v>
      </c>
      <c r="E340" s="381" t="s">
        <v>207</v>
      </c>
      <c r="F340" s="439"/>
      <c r="G340" s="439"/>
      <c r="H340" s="439"/>
    </row>
    <row r="341" spans="1:8" s="435" customFormat="1" ht="12" customHeight="1">
      <c r="A341" s="435" t="str">
        <f>D340</f>
        <v>AS2502</v>
      </c>
      <c r="B341" s="421" t="s">
        <v>1428</v>
      </c>
      <c r="C341" s="382"/>
      <c r="D341" s="382"/>
      <c r="E341" s="388" t="s">
        <v>515</v>
      </c>
      <c r="F341" s="383" t="e">
        <v>#REF!</v>
      </c>
      <c r="G341" s="383" t="e">
        <f>#REF!</f>
        <v>#REF!</v>
      </c>
      <c r="H341" s="383"/>
    </row>
    <row r="342" spans="2:8" s="435" customFormat="1" ht="12" customHeight="1">
      <c r="B342" s="421"/>
      <c r="C342" s="382"/>
      <c r="D342" s="382"/>
      <c r="E342" s="392"/>
      <c r="F342" s="443"/>
      <c r="G342" s="443"/>
      <c r="H342" s="443"/>
    </row>
    <row r="343" spans="1:8" s="436" customFormat="1" ht="12" customHeight="1">
      <c r="A343" s="435"/>
      <c r="B343" s="385" t="s">
        <v>1433</v>
      </c>
      <c r="C343" s="385" t="s">
        <v>516</v>
      </c>
      <c r="D343" s="385" t="s">
        <v>516</v>
      </c>
      <c r="E343" s="381" t="s">
        <v>105</v>
      </c>
      <c r="F343" s="387" t="e">
        <f>SUM(F344:F346)</f>
        <v>#REF!</v>
      </c>
      <c r="G343" s="387" t="e">
        <f>+#REF!</f>
        <v>#REF!</v>
      </c>
      <c r="H343" s="387"/>
    </row>
    <row r="344" spans="1:8" s="435" customFormat="1" ht="12" customHeight="1">
      <c r="A344" s="435" t="str">
        <f>D343</f>
        <v>AS15*</v>
      </c>
      <c r="B344" s="421" t="s">
        <v>517</v>
      </c>
      <c r="C344" s="382"/>
      <c r="D344" s="382"/>
      <c r="E344" s="388" t="s">
        <v>518</v>
      </c>
      <c r="F344" s="383" t="e">
        <v>#REF!</v>
      </c>
      <c r="G344" s="383"/>
      <c r="H344" s="383"/>
    </row>
    <row r="345" spans="2:8" s="440" customFormat="1" ht="12" customHeight="1">
      <c r="B345" s="424" t="s">
        <v>118</v>
      </c>
      <c r="C345" s="425"/>
      <c r="D345" s="425"/>
      <c r="E345" s="432" t="s">
        <v>565</v>
      </c>
      <c r="F345" s="433" t="e">
        <v>#REF!</v>
      </c>
      <c r="G345" s="433"/>
      <c r="H345" s="433"/>
    </row>
    <row r="346" spans="1:8" s="435" customFormat="1" ht="12" customHeight="1">
      <c r="A346" s="435" t="str">
        <f>D343</f>
        <v>AS15*</v>
      </c>
      <c r="B346" s="421" t="s">
        <v>1046</v>
      </c>
      <c r="C346" s="382"/>
      <c r="D346" s="382"/>
      <c r="E346" s="388" t="s">
        <v>1414</v>
      </c>
      <c r="F346" s="383" t="e">
        <v>#REF!</v>
      </c>
      <c r="G346" s="383"/>
      <c r="H346" s="383"/>
    </row>
    <row r="347" spans="2:8" s="435" customFormat="1" ht="12" customHeight="1">
      <c r="B347" s="421"/>
      <c r="C347" s="382"/>
      <c r="D347" s="382"/>
      <c r="E347" s="392"/>
      <c r="F347" s="443"/>
      <c r="G347" s="443"/>
      <c r="H347" s="443"/>
    </row>
    <row r="348" spans="1:8" s="436" customFormat="1" ht="12" customHeight="1">
      <c r="A348" s="435"/>
      <c r="B348" s="385" t="s">
        <v>1433</v>
      </c>
      <c r="C348" s="385" t="s">
        <v>496</v>
      </c>
      <c r="D348" s="385" t="s">
        <v>335</v>
      </c>
      <c r="E348" s="381" t="s">
        <v>1076</v>
      </c>
      <c r="F348" s="387" t="e">
        <f>SUM(F349:F352)</f>
        <v>#REF!</v>
      </c>
      <c r="G348" s="387">
        <f>SUM(G349:G352)</f>
        <v>205360</v>
      </c>
      <c r="H348" s="387" t="e">
        <f>G348-#REF!</f>
        <v>#REF!</v>
      </c>
    </row>
    <row r="349" spans="1:8" s="449" customFormat="1" ht="12" customHeight="1">
      <c r="A349" s="444"/>
      <c r="B349" s="445" t="s">
        <v>1466</v>
      </c>
      <c r="C349" s="446"/>
      <c r="D349" s="446"/>
      <c r="E349" s="447" t="s">
        <v>765</v>
      </c>
      <c r="F349" s="448" t="e">
        <v>#REF!</v>
      </c>
      <c r="G349" s="448">
        <v>205360</v>
      </c>
      <c r="H349" s="448"/>
    </row>
    <row r="350" spans="1:8" s="436" customFormat="1" ht="12" customHeight="1">
      <c r="A350" s="435"/>
      <c r="B350" s="382" t="s">
        <v>1467</v>
      </c>
      <c r="C350" s="385"/>
      <c r="D350" s="385"/>
      <c r="E350" s="388" t="s">
        <v>785</v>
      </c>
      <c r="F350" s="383" t="e">
        <v>#REF!</v>
      </c>
      <c r="G350" s="383"/>
      <c r="H350" s="383"/>
    </row>
    <row r="351" spans="1:8" s="442" customFormat="1" ht="12" customHeight="1">
      <c r="A351" s="440"/>
      <c r="B351" s="425" t="s">
        <v>807</v>
      </c>
      <c r="C351" s="437"/>
      <c r="D351" s="437"/>
      <c r="E351" s="432" t="s">
        <v>808</v>
      </c>
      <c r="F351" s="433" t="e">
        <v>#REF!</v>
      </c>
      <c r="G351" s="433"/>
      <c r="H351" s="433"/>
    </row>
    <row r="352" spans="1:8" s="449" customFormat="1" ht="12" customHeight="1">
      <c r="A352" s="444"/>
      <c r="B352" s="445" t="s">
        <v>856</v>
      </c>
      <c r="C352" s="446"/>
      <c r="D352" s="446"/>
      <c r="E352" s="450" t="s">
        <v>1427</v>
      </c>
      <c r="F352" s="448" t="e">
        <v>#REF!</v>
      </c>
      <c r="G352" s="448"/>
      <c r="H352" s="448"/>
    </row>
    <row r="353" spans="2:8" s="435" customFormat="1" ht="12" customHeight="1">
      <c r="B353" s="420"/>
      <c r="C353" s="382"/>
      <c r="D353" s="382"/>
      <c r="E353" s="420"/>
      <c r="F353" s="383"/>
      <c r="G353" s="383"/>
      <c r="H353" s="383"/>
    </row>
    <row r="354" spans="1:8" s="436" customFormat="1" ht="12" customHeight="1">
      <c r="A354" s="435"/>
      <c r="B354" s="385" t="s">
        <v>1433</v>
      </c>
      <c r="C354" s="385" t="s">
        <v>809</v>
      </c>
      <c r="D354" s="385" t="s">
        <v>336</v>
      </c>
      <c r="E354" s="381" t="s">
        <v>810</v>
      </c>
      <c r="F354" s="387" t="e">
        <f>SUM(F355:F358)</f>
        <v>#REF!</v>
      </c>
      <c r="G354" s="387">
        <f>SUM(G355:G358)</f>
        <v>17548705</v>
      </c>
      <c r="H354" s="387" t="e">
        <f>#REF!-G354</f>
        <v>#REF!</v>
      </c>
    </row>
    <row r="355" spans="2:8" s="435" customFormat="1" ht="12" customHeight="1">
      <c r="B355" s="382" t="s">
        <v>1466</v>
      </c>
      <c r="C355" s="388"/>
      <c r="D355" s="388"/>
      <c r="E355" s="388" t="s">
        <v>765</v>
      </c>
      <c r="F355" s="383" t="e">
        <v>#REF!</v>
      </c>
      <c r="G355" s="383">
        <v>53144</v>
      </c>
      <c r="H355" s="383"/>
    </row>
    <row r="356" spans="2:8" s="435" customFormat="1" ht="12" customHeight="1">
      <c r="B356" s="382" t="s">
        <v>1467</v>
      </c>
      <c r="C356" s="388"/>
      <c r="D356" s="388"/>
      <c r="E356" s="388" t="s">
        <v>785</v>
      </c>
      <c r="F356" s="383" t="e">
        <v>#REF!</v>
      </c>
      <c r="G356" s="383">
        <v>72561</v>
      </c>
      <c r="H356" s="383"/>
    </row>
    <row r="357" spans="2:8" s="435" customFormat="1" ht="12" customHeight="1">
      <c r="B357" s="382" t="s">
        <v>811</v>
      </c>
      <c r="C357" s="388"/>
      <c r="D357" s="388"/>
      <c r="E357" s="388" t="s">
        <v>1392</v>
      </c>
      <c r="F357" s="383" t="e">
        <v>#REF!</v>
      </c>
      <c r="G357" s="383">
        <v>17423000</v>
      </c>
      <c r="H357" s="383"/>
    </row>
    <row r="358" spans="2:8" s="435" customFormat="1" ht="12" customHeight="1">
      <c r="B358" s="382" t="s">
        <v>856</v>
      </c>
      <c r="C358" s="388"/>
      <c r="D358" s="388"/>
      <c r="E358" s="388" t="s">
        <v>1427</v>
      </c>
      <c r="F358" s="383" t="e">
        <v>#REF!</v>
      </c>
      <c r="G358" s="383"/>
      <c r="H358" s="383"/>
    </row>
    <row r="359" spans="2:8" ht="12" customHeight="1">
      <c r="B359" s="373" t="s">
        <v>1360</v>
      </c>
      <c r="C359" s="374"/>
      <c r="D359" s="374"/>
      <c r="E359" s="373"/>
      <c r="F359" s="373" t="s">
        <v>1361</v>
      </c>
      <c r="G359" s="373" t="s">
        <v>1361</v>
      </c>
      <c r="H359" s="373"/>
    </row>
    <row r="360" spans="2:8" ht="12" customHeight="1">
      <c r="B360" s="375" t="s">
        <v>1362</v>
      </c>
      <c r="C360" s="376" t="s">
        <v>1363</v>
      </c>
      <c r="D360" s="376" t="s">
        <v>831</v>
      </c>
      <c r="E360" s="375" t="s">
        <v>1080</v>
      </c>
      <c r="F360" s="375">
        <v>2008</v>
      </c>
      <c r="G360" s="375">
        <v>2008</v>
      </c>
      <c r="H360" s="375" t="s">
        <v>1496</v>
      </c>
    </row>
    <row r="361" spans="2:8" ht="12" customHeight="1">
      <c r="B361" s="377" t="s">
        <v>832</v>
      </c>
      <c r="C361" s="378"/>
      <c r="D361" s="378"/>
      <c r="E361" s="377"/>
      <c r="F361" s="377" t="s">
        <v>1098</v>
      </c>
      <c r="G361" s="377" t="s">
        <v>833</v>
      </c>
      <c r="H361" s="377"/>
    </row>
    <row r="362" spans="2:8" s="435" customFormat="1" ht="12" customHeight="1">
      <c r="B362" s="420"/>
      <c r="C362" s="382"/>
      <c r="D362" s="382"/>
      <c r="E362" s="420"/>
      <c r="F362" s="383"/>
      <c r="G362" s="383"/>
      <c r="H362" s="383"/>
    </row>
    <row r="363" spans="1:8" s="436" customFormat="1" ht="12" customHeight="1">
      <c r="A363" s="435"/>
      <c r="B363" s="385" t="s">
        <v>1433</v>
      </c>
      <c r="C363" s="385" t="s">
        <v>1393</v>
      </c>
      <c r="D363" s="385" t="s">
        <v>337</v>
      </c>
      <c r="E363" s="381" t="s">
        <v>804</v>
      </c>
      <c r="F363" s="387" t="e">
        <f>SUM(F364:F368)</f>
        <v>#REF!</v>
      </c>
      <c r="G363" s="387" t="e">
        <f>+#REF!</f>
        <v>#REF!</v>
      </c>
      <c r="H363" s="387" t="e">
        <f>#REF!-G363</f>
        <v>#REF!</v>
      </c>
    </row>
    <row r="364" spans="2:8" s="435" customFormat="1" ht="12" customHeight="1">
      <c r="B364" s="382" t="s">
        <v>1466</v>
      </c>
      <c r="C364" s="385"/>
      <c r="D364" s="385"/>
      <c r="E364" s="388" t="s">
        <v>765</v>
      </c>
      <c r="F364" s="383" t="e">
        <v>#REF!</v>
      </c>
      <c r="G364" s="383">
        <v>0</v>
      </c>
      <c r="H364" s="383"/>
    </row>
    <row r="365" spans="2:8" s="435" customFormat="1" ht="12" customHeight="1">
      <c r="B365" s="382" t="s">
        <v>1467</v>
      </c>
      <c r="C365" s="385"/>
      <c r="D365" s="385"/>
      <c r="E365" s="388" t="s">
        <v>785</v>
      </c>
      <c r="F365" s="383" t="e">
        <v>#REF!</v>
      </c>
      <c r="G365" s="383"/>
      <c r="H365" s="383"/>
    </row>
    <row r="366" spans="2:8" s="440" customFormat="1" ht="12" customHeight="1">
      <c r="B366" s="425" t="s">
        <v>805</v>
      </c>
      <c r="C366" s="437"/>
      <c r="D366" s="437"/>
      <c r="E366" s="432" t="s">
        <v>804</v>
      </c>
      <c r="F366" s="433" t="e">
        <v>#REF!</v>
      </c>
      <c r="G366" s="433"/>
      <c r="H366" s="433"/>
    </row>
    <row r="367" spans="2:8" s="435" customFormat="1" ht="12" customHeight="1">
      <c r="B367" s="382" t="s">
        <v>856</v>
      </c>
      <c r="C367" s="385"/>
      <c r="D367" s="385"/>
      <c r="E367" s="388" t="s">
        <v>1427</v>
      </c>
      <c r="F367" s="383" t="e">
        <v>#REF!</v>
      </c>
      <c r="G367" s="383"/>
      <c r="H367" s="383"/>
    </row>
    <row r="368" spans="2:8" s="435" customFormat="1" ht="12" customHeight="1">
      <c r="B368" s="382" t="s">
        <v>118</v>
      </c>
      <c r="C368" s="382"/>
      <c r="D368" s="382"/>
      <c r="E368" s="388" t="s">
        <v>565</v>
      </c>
      <c r="F368" s="383" t="e">
        <v>#REF!</v>
      </c>
      <c r="G368" s="383"/>
      <c r="H368" s="383"/>
    </row>
    <row r="369" spans="2:8" s="435" customFormat="1" ht="12" customHeight="1">
      <c r="B369" s="420"/>
      <c r="C369" s="382"/>
      <c r="D369" s="382"/>
      <c r="E369" s="420"/>
      <c r="F369" s="383"/>
      <c r="G369" s="383"/>
      <c r="H369" s="383"/>
    </row>
    <row r="370" spans="1:8" s="436" customFormat="1" ht="12" customHeight="1">
      <c r="A370" s="435"/>
      <c r="B370" s="385" t="s">
        <v>1433</v>
      </c>
      <c r="C370" s="385" t="s">
        <v>343</v>
      </c>
      <c r="D370" s="385" t="s">
        <v>343</v>
      </c>
      <c r="E370" s="381" t="s">
        <v>1221</v>
      </c>
      <c r="F370" s="387" t="e">
        <f>SUM(F371:F373)</f>
        <v>#REF!</v>
      </c>
      <c r="G370" s="387">
        <f>SUM(G371:G373)</f>
        <v>364221</v>
      </c>
      <c r="H370" s="387" t="e">
        <f>#REF!-G370</f>
        <v>#REF!</v>
      </c>
    </row>
    <row r="371" spans="1:8" s="435" customFormat="1" ht="12" customHeight="1">
      <c r="A371" s="435" t="str">
        <f>D370</f>
        <v>AS2001</v>
      </c>
      <c r="B371" s="392" t="s">
        <v>1222</v>
      </c>
      <c r="C371" s="382"/>
      <c r="D371" s="382"/>
      <c r="E371" s="388" t="s">
        <v>829</v>
      </c>
      <c r="F371" s="383" t="e">
        <v>#REF!</v>
      </c>
      <c r="G371" s="383">
        <v>235297</v>
      </c>
      <c r="H371" s="383"/>
    </row>
    <row r="372" spans="1:8" s="435" customFormat="1" ht="12" customHeight="1">
      <c r="A372" s="435" t="str">
        <f>D370</f>
        <v>AS2001</v>
      </c>
      <c r="B372" s="392" t="s">
        <v>830</v>
      </c>
      <c r="C372" s="382"/>
      <c r="D372" s="382"/>
      <c r="E372" s="388" t="s">
        <v>134</v>
      </c>
      <c r="F372" s="383" t="e">
        <v>#REF!</v>
      </c>
      <c r="G372" s="383">
        <v>73924</v>
      </c>
      <c r="H372" s="383"/>
    </row>
    <row r="373" spans="2:8" s="440" customFormat="1" ht="12" customHeight="1">
      <c r="B373" s="425" t="s">
        <v>690</v>
      </c>
      <c r="C373" s="425"/>
      <c r="D373" s="425"/>
      <c r="E373" s="432" t="s">
        <v>1221</v>
      </c>
      <c r="F373" s="433" t="e">
        <v>#REF!</v>
      </c>
      <c r="G373" s="433">
        <v>55000</v>
      </c>
      <c r="H373" s="433"/>
    </row>
    <row r="374" spans="2:8" s="435" customFormat="1" ht="12" customHeight="1">
      <c r="B374" s="420"/>
      <c r="C374" s="382"/>
      <c r="D374" s="382"/>
      <c r="E374" s="420"/>
      <c r="F374" s="383"/>
      <c r="G374" s="383"/>
      <c r="H374" s="383"/>
    </row>
    <row r="375" spans="1:8" s="436" customFormat="1" ht="12" customHeight="1">
      <c r="A375" s="435"/>
      <c r="B375" s="385" t="s">
        <v>1433</v>
      </c>
      <c r="C375" s="385" t="s">
        <v>619</v>
      </c>
      <c r="D375" s="385" t="s">
        <v>212</v>
      </c>
      <c r="E375" s="381" t="s">
        <v>1566</v>
      </c>
      <c r="F375" s="387" t="e">
        <f>SUM(F376:F380)</f>
        <v>#REF!</v>
      </c>
      <c r="G375" s="387">
        <f>SUM(G376:G380)</f>
        <v>43714</v>
      </c>
      <c r="H375" s="387" t="e">
        <f>G375-#REF!</f>
        <v>#REF!</v>
      </c>
    </row>
    <row r="376" spans="2:8" s="435" customFormat="1" ht="12" customHeight="1">
      <c r="B376" s="382" t="s">
        <v>1466</v>
      </c>
      <c r="C376" s="382"/>
      <c r="D376" s="382"/>
      <c r="E376" s="388" t="s">
        <v>1425</v>
      </c>
      <c r="F376" s="383" t="e">
        <v>#REF!</v>
      </c>
      <c r="G376" s="383">
        <v>6128</v>
      </c>
      <c r="H376" s="383"/>
    </row>
    <row r="377" spans="2:8" s="435" customFormat="1" ht="12" customHeight="1">
      <c r="B377" s="382" t="s">
        <v>1467</v>
      </c>
      <c r="C377" s="382"/>
      <c r="D377" s="382"/>
      <c r="E377" s="388" t="s">
        <v>1426</v>
      </c>
      <c r="F377" s="383" t="e">
        <v>#REF!</v>
      </c>
      <c r="G377" s="383">
        <v>37586</v>
      </c>
      <c r="H377" s="383"/>
    </row>
    <row r="378" spans="2:8" s="435" customFormat="1" ht="12" customHeight="1">
      <c r="B378" s="382" t="s">
        <v>484</v>
      </c>
      <c r="C378" s="382"/>
      <c r="D378" s="382"/>
      <c r="E378" s="388" t="s">
        <v>1364</v>
      </c>
      <c r="F378" s="383" t="e">
        <v>#REF!</v>
      </c>
      <c r="G378" s="383"/>
      <c r="H378" s="383"/>
    </row>
    <row r="379" spans="2:8" s="435" customFormat="1" ht="12" customHeight="1">
      <c r="B379" s="382" t="s">
        <v>1377</v>
      </c>
      <c r="C379" s="382"/>
      <c r="D379" s="382"/>
      <c r="E379" s="388" t="s">
        <v>1378</v>
      </c>
      <c r="F379" s="383" t="e">
        <v>#REF!</v>
      </c>
      <c r="G379" s="383"/>
      <c r="H379" s="383"/>
    </row>
    <row r="380" spans="2:8" s="435" customFormat="1" ht="12" customHeight="1">
      <c r="B380" s="382" t="s">
        <v>856</v>
      </c>
      <c r="C380" s="382"/>
      <c r="D380" s="382"/>
      <c r="E380" s="388" t="s">
        <v>1379</v>
      </c>
      <c r="F380" s="383" t="e">
        <v>#REF!</v>
      </c>
      <c r="G380" s="383"/>
      <c r="H380" s="383"/>
    </row>
    <row r="381" spans="2:8" s="435" customFormat="1" ht="12" customHeight="1">
      <c r="B381" s="420"/>
      <c r="C381" s="382"/>
      <c r="D381" s="382"/>
      <c r="E381" s="420"/>
      <c r="F381" s="383"/>
      <c r="G381" s="383"/>
      <c r="H381" s="383"/>
    </row>
    <row r="382" spans="1:8" s="436" customFormat="1" ht="12" customHeight="1">
      <c r="A382" s="435"/>
      <c r="B382" s="385" t="s">
        <v>1433</v>
      </c>
      <c r="C382" s="385" t="s">
        <v>1380</v>
      </c>
      <c r="D382" s="385" t="s">
        <v>1380</v>
      </c>
      <c r="E382" s="381" t="s">
        <v>1248</v>
      </c>
      <c r="F382" s="387"/>
      <c r="G382" s="387"/>
      <c r="H382" s="387"/>
    </row>
    <row r="383" spans="2:8" s="435" customFormat="1" ht="12" customHeight="1">
      <c r="B383" s="382" t="s">
        <v>1381</v>
      </c>
      <c r="C383" s="382"/>
      <c r="D383" s="382"/>
      <c r="E383" s="388" t="s">
        <v>850</v>
      </c>
      <c r="F383" s="383" t="e">
        <v>#REF!</v>
      </c>
      <c r="G383" s="383">
        <f>+'MLBSS_Receita e Despesa'!K276</f>
        <v>0</v>
      </c>
      <c r="H383" s="383"/>
    </row>
    <row r="384" spans="2:8" s="435" customFormat="1" ht="12" customHeight="1">
      <c r="B384" s="392"/>
      <c r="C384" s="382"/>
      <c r="D384" s="382"/>
      <c r="E384" s="420"/>
      <c r="F384" s="383"/>
      <c r="G384" s="383"/>
      <c r="H384" s="383"/>
    </row>
    <row r="385" spans="2:8" ht="12" customHeight="1">
      <c r="B385" s="385"/>
      <c r="C385" s="382"/>
      <c r="D385" s="382"/>
      <c r="E385" s="381" t="s">
        <v>851</v>
      </c>
      <c r="F385" s="383"/>
      <c r="G385" s="383"/>
      <c r="H385" s="383"/>
    </row>
    <row r="386" spans="2:8" ht="12" customHeight="1">
      <c r="B386" s="385"/>
      <c r="C386" s="382"/>
      <c r="D386" s="382"/>
      <c r="E386" s="381"/>
      <c r="F386" s="383"/>
      <c r="G386" s="383"/>
      <c r="H386" s="383"/>
    </row>
    <row r="387" spans="2:8" ht="12" customHeight="1">
      <c r="B387" s="385"/>
      <c r="C387" s="382"/>
      <c r="D387" s="382"/>
      <c r="E387" s="406" t="s">
        <v>327</v>
      </c>
      <c r="F387" s="383"/>
      <c r="G387" s="383"/>
      <c r="H387" s="383"/>
    </row>
    <row r="388" spans="2:8" ht="12" customHeight="1">
      <c r="B388" s="385"/>
      <c r="C388" s="382"/>
      <c r="D388" s="382"/>
      <c r="E388" s="381"/>
      <c r="F388" s="383"/>
      <c r="G388" s="383"/>
      <c r="H388" s="383"/>
    </row>
    <row r="389" spans="1:8" s="384" customFormat="1" ht="12" customHeight="1">
      <c r="A389" s="365"/>
      <c r="B389" s="385" t="s">
        <v>1433</v>
      </c>
      <c r="C389" s="385" t="s">
        <v>1380</v>
      </c>
      <c r="D389" s="385" t="s">
        <v>1380</v>
      </c>
      <c r="E389" s="381" t="s">
        <v>880</v>
      </c>
      <c r="F389" s="387"/>
      <c r="G389" s="387"/>
      <c r="H389" s="387"/>
    </row>
    <row r="390" spans="2:9" ht="12" customHeight="1">
      <c r="B390" s="385"/>
      <c r="C390" s="385"/>
      <c r="D390" s="385"/>
      <c r="E390" s="412" t="s">
        <v>1542</v>
      </c>
      <c r="F390" s="387" t="e">
        <f>SUM(F391:F393)</f>
        <v>#REF!</v>
      </c>
      <c r="G390" s="387">
        <f>SUM(G391:G393)</f>
        <v>0</v>
      </c>
      <c r="H390" s="387"/>
      <c r="I390" s="476">
        <f>G390+G394+G397+G406</f>
        <v>7603968</v>
      </c>
    </row>
    <row r="391" spans="2:8" ht="12" customHeight="1">
      <c r="B391" s="382" t="s">
        <v>1543</v>
      </c>
      <c r="C391" s="385"/>
      <c r="D391" s="385"/>
      <c r="E391" s="388" t="s">
        <v>850</v>
      </c>
      <c r="F391" s="383" t="e">
        <v>#REF!</v>
      </c>
      <c r="G391" s="383">
        <f>+'MLBSS_Receita e Despesa'!K284</f>
        <v>0</v>
      </c>
      <c r="H391" s="383"/>
    </row>
    <row r="392" spans="2:8" ht="12" customHeight="1">
      <c r="B392" s="382" t="s">
        <v>1543</v>
      </c>
      <c r="C392" s="385"/>
      <c r="D392" s="385"/>
      <c r="E392" s="388" t="s">
        <v>15</v>
      </c>
      <c r="F392" s="383" t="e">
        <v>#REF!</v>
      </c>
      <c r="G392" s="383">
        <f>+'MLBSS_Receita e Despesa'!K285</f>
        <v>0</v>
      </c>
      <c r="H392" s="383"/>
    </row>
    <row r="393" spans="2:8" ht="12" customHeight="1">
      <c r="B393" s="382" t="s">
        <v>1543</v>
      </c>
      <c r="C393" s="385"/>
      <c r="D393" s="385"/>
      <c r="E393" s="388" t="s">
        <v>100</v>
      </c>
      <c r="F393" s="383" t="e">
        <v>#REF!</v>
      </c>
      <c r="G393" s="383">
        <f>+'MLBSS_Receita e Despesa'!K286</f>
        <v>0</v>
      </c>
      <c r="H393" s="383"/>
    </row>
    <row r="394" spans="2:8" ht="12" customHeight="1">
      <c r="B394" s="385"/>
      <c r="C394" s="382"/>
      <c r="D394" s="382"/>
      <c r="E394" s="412" t="s">
        <v>101</v>
      </c>
      <c r="F394" s="387" t="e">
        <f>+F395</f>
        <v>#REF!</v>
      </c>
      <c r="G394" s="387">
        <f>+G395</f>
        <v>6054629</v>
      </c>
      <c r="H394" s="387"/>
    </row>
    <row r="395" spans="2:8" ht="12" customHeight="1">
      <c r="B395" s="382" t="s">
        <v>1046</v>
      </c>
      <c r="C395" s="382"/>
      <c r="D395" s="382"/>
      <c r="E395" s="388" t="s">
        <v>667</v>
      </c>
      <c r="F395" s="383" t="e">
        <v>#REF!</v>
      </c>
      <c r="G395" s="383">
        <f>+'MLBSS_Receita e Despesa'!K287</f>
        <v>6054629</v>
      </c>
      <c r="H395" s="383"/>
    </row>
    <row r="396" spans="2:8" ht="12" customHeight="1">
      <c r="B396" s="385"/>
      <c r="C396" s="382"/>
      <c r="D396" s="382"/>
      <c r="E396" s="412" t="s">
        <v>152</v>
      </c>
      <c r="F396" s="557"/>
      <c r="G396" s="387">
        <f>+'MLBSS_Receita e Despesa'!K288</f>
        <v>0</v>
      </c>
      <c r="H396" s="383"/>
    </row>
    <row r="397" spans="1:8" s="384" customFormat="1" ht="12" customHeight="1">
      <c r="A397" s="365"/>
      <c r="B397" s="385" t="s">
        <v>1433</v>
      </c>
      <c r="C397" s="385" t="s">
        <v>1380</v>
      </c>
      <c r="D397" s="385" t="s">
        <v>1380</v>
      </c>
      <c r="E397" s="381" t="s">
        <v>201</v>
      </c>
      <c r="F397" s="387" t="e">
        <f>+F398+F399</f>
        <v>#REF!</v>
      </c>
      <c r="G397" s="387">
        <f>+G398+G399</f>
        <v>0</v>
      </c>
      <c r="H397" s="387"/>
    </row>
    <row r="398" spans="2:8" ht="12" customHeight="1">
      <c r="B398" s="382" t="s">
        <v>668</v>
      </c>
      <c r="C398" s="385"/>
      <c r="D398" s="385"/>
      <c r="E398" s="388" t="s">
        <v>15</v>
      </c>
      <c r="F398" s="383" t="e">
        <v>#REF!</v>
      </c>
      <c r="G398" s="383">
        <f>+'MLBSS_Receita e Despesa'!K290</f>
        <v>0</v>
      </c>
      <c r="H398" s="383"/>
    </row>
    <row r="399" spans="2:8" ht="12" customHeight="1">
      <c r="B399" s="382" t="s">
        <v>668</v>
      </c>
      <c r="C399" s="385"/>
      <c r="D399" s="385"/>
      <c r="E399" s="388" t="s">
        <v>100</v>
      </c>
      <c r="F399" s="383" t="e">
        <v>#REF!</v>
      </c>
      <c r="G399" s="383">
        <f>+'MLBSS_Receita e Despesa'!K291</f>
        <v>0</v>
      </c>
      <c r="H399" s="383"/>
    </row>
    <row r="400" spans="2:8" ht="12" customHeight="1">
      <c r="B400" s="382"/>
      <c r="C400" s="385"/>
      <c r="D400" s="385"/>
      <c r="E400" s="381" t="s">
        <v>154</v>
      </c>
      <c r="F400" s="383"/>
      <c r="G400" s="387">
        <f>+G401</f>
        <v>0</v>
      </c>
      <c r="H400" s="383"/>
    </row>
    <row r="401" spans="2:8" ht="12" customHeight="1">
      <c r="B401" s="382" t="s">
        <v>119</v>
      </c>
      <c r="C401" s="385"/>
      <c r="D401" s="385"/>
      <c r="E401" s="388"/>
      <c r="F401" s="383"/>
      <c r="G401" s="383">
        <f>+'MLBSS_Receita e Despesa'!K293</f>
        <v>0</v>
      </c>
      <c r="H401" s="383"/>
    </row>
    <row r="402" spans="2:8" ht="12" customHeight="1">
      <c r="B402" s="385"/>
      <c r="C402" s="382"/>
      <c r="D402" s="382"/>
      <c r="E402" s="381"/>
      <c r="F402" s="383"/>
      <c r="G402" s="383"/>
      <c r="H402" s="383"/>
    </row>
    <row r="403" spans="2:8" ht="12" customHeight="1">
      <c r="B403" s="385"/>
      <c r="C403" s="382"/>
      <c r="D403" s="382"/>
      <c r="E403" s="406" t="s">
        <v>852</v>
      </c>
      <c r="F403" s="383"/>
      <c r="G403" s="383"/>
      <c r="H403" s="383"/>
    </row>
    <row r="404" spans="2:8" ht="12" customHeight="1">
      <c r="B404" s="385"/>
      <c r="C404" s="382"/>
      <c r="D404" s="382"/>
      <c r="E404" s="390"/>
      <c r="F404" s="383"/>
      <c r="G404" s="383"/>
      <c r="H404" s="383"/>
    </row>
    <row r="405" spans="1:8" s="384" customFormat="1" ht="12" customHeight="1">
      <c r="A405" s="365"/>
      <c r="B405" s="385" t="s">
        <v>1433</v>
      </c>
      <c r="C405" s="385" t="s">
        <v>1380</v>
      </c>
      <c r="D405" s="385" t="s">
        <v>1380</v>
      </c>
      <c r="E405" s="381" t="s">
        <v>1043</v>
      </c>
      <c r="F405" s="387"/>
      <c r="G405" s="387"/>
      <c r="H405" s="387"/>
    </row>
    <row r="406" spans="2:8" ht="12" customHeight="1">
      <c r="B406" s="385"/>
      <c r="C406" s="382"/>
      <c r="D406" s="382"/>
      <c r="E406" s="412" t="s">
        <v>671</v>
      </c>
      <c r="F406" s="387" t="e">
        <f>SUM(F407:F410)</f>
        <v>#REF!</v>
      </c>
      <c r="G406" s="387">
        <f>SUM(G407:G410)</f>
        <v>1549339</v>
      </c>
      <c r="H406" s="387"/>
    </row>
    <row r="407" spans="2:8" ht="12" customHeight="1">
      <c r="B407" s="382" t="s">
        <v>4</v>
      </c>
      <c r="C407" s="385"/>
      <c r="D407" s="385"/>
      <c r="E407" s="388" t="s">
        <v>565</v>
      </c>
      <c r="F407" s="383" t="e">
        <v>#REF!</v>
      </c>
      <c r="G407" s="383">
        <v>1549339</v>
      </c>
      <c r="H407" s="383"/>
    </row>
    <row r="408" spans="2:8" ht="12" customHeight="1">
      <c r="B408" s="382" t="s">
        <v>1010</v>
      </c>
      <c r="C408" s="382"/>
      <c r="D408" s="382"/>
      <c r="E408" s="388" t="s">
        <v>1011</v>
      </c>
      <c r="F408" s="383" t="e">
        <v>#REF!</v>
      </c>
      <c r="G408" s="383"/>
      <c r="H408" s="383"/>
    </row>
    <row r="409" spans="2:8" ht="12" customHeight="1">
      <c r="B409" s="382" t="s">
        <v>1012</v>
      </c>
      <c r="C409" s="382"/>
      <c r="D409" s="382"/>
      <c r="E409" s="388" t="s">
        <v>521</v>
      </c>
      <c r="F409" s="383" t="e">
        <v>#REF!</v>
      </c>
      <c r="G409" s="383"/>
      <c r="H409" s="383"/>
    </row>
    <row r="410" spans="2:8" ht="12" customHeight="1">
      <c r="B410" s="382" t="s">
        <v>522</v>
      </c>
      <c r="C410" s="382"/>
      <c r="D410" s="382"/>
      <c r="E410" s="388" t="s">
        <v>523</v>
      </c>
      <c r="F410" s="383" t="e">
        <v>#REF!</v>
      </c>
      <c r="G410" s="383"/>
      <c r="H410" s="383"/>
    </row>
    <row r="411" spans="2:8" ht="12" customHeight="1">
      <c r="B411" s="385"/>
      <c r="C411" s="382"/>
      <c r="D411" s="382"/>
      <c r="E411" s="412" t="s">
        <v>524</v>
      </c>
      <c r="F411" s="387" t="e">
        <f>SUM(F412:F415)</f>
        <v>#REF!</v>
      </c>
      <c r="G411" s="387">
        <f>+'MLBSS_Receita e Despesa'!K299</f>
        <v>0</v>
      </c>
      <c r="H411" s="387"/>
    </row>
    <row r="412" spans="2:8" ht="12" customHeight="1">
      <c r="B412" s="382" t="s">
        <v>4</v>
      </c>
      <c r="C412" s="385"/>
      <c r="D412" s="385"/>
      <c r="E412" s="388" t="s">
        <v>565</v>
      </c>
      <c r="F412" s="383" t="e">
        <v>#REF!</v>
      </c>
      <c r="G412" s="383"/>
      <c r="H412" s="383"/>
    </row>
    <row r="413" spans="2:8" ht="12" customHeight="1">
      <c r="B413" s="382" t="s">
        <v>1010</v>
      </c>
      <c r="C413" s="382"/>
      <c r="D413" s="382"/>
      <c r="E413" s="388" t="s">
        <v>1011</v>
      </c>
      <c r="F413" s="383" t="e">
        <v>#REF!</v>
      </c>
      <c r="G413" s="383"/>
      <c r="H413" s="383"/>
    </row>
    <row r="414" spans="2:8" ht="12" customHeight="1">
      <c r="B414" s="382" t="s">
        <v>1012</v>
      </c>
      <c r="C414" s="382"/>
      <c r="D414" s="382"/>
      <c r="E414" s="388" t="s">
        <v>521</v>
      </c>
      <c r="F414" s="383" t="e">
        <v>#REF!</v>
      </c>
      <c r="G414" s="383"/>
      <c r="H414" s="383"/>
    </row>
    <row r="415" spans="2:8" ht="12" customHeight="1">
      <c r="B415" s="382" t="s">
        <v>522</v>
      </c>
      <c r="C415" s="382"/>
      <c r="D415" s="382"/>
      <c r="E415" s="388" t="s">
        <v>523</v>
      </c>
      <c r="F415" s="383" t="e">
        <v>#REF!</v>
      </c>
      <c r="G415" s="383"/>
      <c r="H415" s="383"/>
    </row>
    <row r="416" spans="2:8" ht="12" customHeight="1">
      <c r="B416" s="385"/>
      <c r="C416" s="382"/>
      <c r="D416" s="382"/>
      <c r="E416" s="412" t="s">
        <v>525</v>
      </c>
      <c r="F416" s="387" t="e">
        <f>SUM(F417:F420)</f>
        <v>#REF!</v>
      </c>
      <c r="G416" s="387">
        <f>+'MLBSS_Receita e Despesa'!K300</f>
        <v>0</v>
      </c>
      <c r="H416" s="387"/>
    </row>
    <row r="417" spans="2:8" ht="12" customHeight="1">
      <c r="B417" s="382" t="s">
        <v>4</v>
      </c>
      <c r="C417" s="385"/>
      <c r="D417" s="385"/>
      <c r="E417" s="388" t="s">
        <v>565</v>
      </c>
      <c r="F417" s="383" t="e">
        <v>#REF!</v>
      </c>
      <c r="G417" s="383"/>
      <c r="H417" s="383"/>
    </row>
    <row r="418" spans="2:8" ht="12" customHeight="1">
      <c r="B418" s="382" t="s">
        <v>1010</v>
      </c>
      <c r="C418" s="382"/>
      <c r="D418" s="382"/>
      <c r="E418" s="388" t="s">
        <v>1011</v>
      </c>
      <c r="F418" s="383" t="e">
        <v>#REF!</v>
      </c>
      <c r="G418" s="383"/>
      <c r="H418" s="383"/>
    </row>
    <row r="419" spans="2:8" ht="12" customHeight="1">
      <c r="B419" s="382" t="s">
        <v>1012</v>
      </c>
      <c r="C419" s="382"/>
      <c r="D419" s="382"/>
      <c r="E419" s="388" t="s">
        <v>521</v>
      </c>
      <c r="F419" s="383" t="e">
        <v>#REF!</v>
      </c>
      <c r="G419" s="383"/>
      <c r="H419" s="383"/>
    </row>
    <row r="420" spans="2:8" ht="12" customHeight="1">
      <c r="B420" s="382" t="s">
        <v>522</v>
      </c>
      <c r="C420" s="382"/>
      <c r="D420" s="382"/>
      <c r="E420" s="388" t="s">
        <v>523</v>
      </c>
      <c r="F420" s="383" t="e">
        <v>#REF!</v>
      </c>
      <c r="G420" s="383"/>
      <c r="H420" s="383"/>
    </row>
    <row r="421" spans="2:8" ht="12" customHeight="1">
      <c r="B421" s="382"/>
      <c r="C421" s="385"/>
      <c r="D421" s="385"/>
      <c r="E421" s="388"/>
      <c r="F421" s="383"/>
      <c r="G421" s="383"/>
      <c r="H421" s="383"/>
    </row>
    <row r="422" spans="2:8" ht="12" customHeight="1">
      <c r="B422" s="385" t="s">
        <v>526</v>
      </c>
      <c r="C422" s="385" t="s">
        <v>527</v>
      </c>
      <c r="D422" s="385" t="s">
        <v>528</v>
      </c>
      <c r="E422" s="381" t="s">
        <v>637</v>
      </c>
      <c r="F422" s="387" t="e">
        <f>SUM(F423:F432)</f>
        <v>#REF!</v>
      </c>
      <c r="G422" s="387">
        <f>SUM(G423:G432)</f>
        <v>5150000</v>
      </c>
      <c r="H422" s="387"/>
    </row>
    <row r="423" spans="1:8" ht="12" customHeight="1">
      <c r="A423" s="365" t="str">
        <f aca="true" t="shared" si="4" ref="A423:A432">$D$422</f>
        <v>DA123001+PJ*</v>
      </c>
      <c r="B423" s="382" t="s">
        <v>953</v>
      </c>
      <c r="C423" s="382"/>
      <c r="D423" s="382"/>
      <c r="E423" s="388" t="s">
        <v>954</v>
      </c>
      <c r="F423" s="383" t="e">
        <v>#REF!</v>
      </c>
      <c r="G423" s="383"/>
      <c r="H423" s="383"/>
    </row>
    <row r="424" spans="1:8" ht="12" customHeight="1">
      <c r="A424" s="365" t="str">
        <f t="shared" si="4"/>
        <v>DA123001+PJ*</v>
      </c>
      <c r="B424" s="382" t="s">
        <v>4</v>
      </c>
      <c r="C424" s="382"/>
      <c r="D424" s="382"/>
      <c r="E424" s="388" t="s">
        <v>267</v>
      </c>
      <c r="F424" s="383" t="e">
        <v>#REF!</v>
      </c>
      <c r="G424" s="383">
        <v>2650000</v>
      </c>
      <c r="H424" s="383"/>
    </row>
    <row r="425" spans="1:8" ht="12" customHeight="1">
      <c r="A425" s="365" t="str">
        <f t="shared" si="4"/>
        <v>DA123001+PJ*</v>
      </c>
      <c r="B425" s="382" t="s">
        <v>268</v>
      </c>
      <c r="C425" s="382"/>
      <c r="D425" s="382"/>
      <c r="E425" s="388" t="s">
        <v>269</v>
      </c>
      <c r="F425" s="383" t="e">
        <v>#REF!</v>
      </c>
      <c r="G425" s="383"/>
      <c r="H425" s="383"/>
    </row>
    <row r="426" spans="1:8" ht="12" customHeight="1">
      <c r="A426" s="365" t="str">
        <f t="shared" si="4"/>
        <v>DA123001+PJ*</v>
      </c>
      <c r="B426" s="382" t="s">
        <v>270</v>
      </c>
      <c r="C426" s="382"/>
      <c r="D426" s="382"/>
      <c r="E426" s="388" t="s">
        <v>1201</v>
      </c>
      <c r="F426" s="383" t="e">
        <v>#REF!</v>
      </c>
      <c r="G426" s="383"/>
      <c r="H426" s="383"/>
    </row>
    <row r="427" spans="1:8" ht="12" customHeight="1">
      <c r="A427" s="365" t="str">
        <f t="shared" si="4"/>
        <v>DA123001+PJ*</v>
      </c>
      <c r="B427" s="382" t="s">
        <v>1150</v>
      </c>
      <c r="C427" s="382"/>
      <c r="D427" s="382"/>
      <c r="E427" s="388" t="s">
        <v>1151</v>
      </c>
      <c r="F427" s="383" t="e">
        <v>#REF!</v>
      </c>
      <c r="G427" s="383"/>
      <c r="H427" s="383"/>
    </row>
    <row r="428" spans="1:8" ht="12" customHeight="1">
      <c r="A428" s="365" t="str">
        <f t="shared" si="4"/>
        <v>DA123001+PJ*</v>
      </c>
      <c r="B428" s="382" t="s">
        <v>1010</v>
      </c>
      <c r="C428" s="382"/>
      <c r="D428" s="382"/>
      <c r="E428" s="388" t="s">
        <v>1011</v>
      </c>
      <c r="F428" s="383" t="e">
        <v>#REF!</v>
      </c>
      <c r="G428" s="383"/>
      <c r="H428" s="383"/>
    </row>
    <row r="429" spans="1:8" ht="12" customHeight="1">
      <c r="A429" s="365" t="str">
        <f t="shared" si="4"/>
        <v>DA123001+PJ*</v>
      </c>
      <c r="B429" s="382" t="s">
        <v>1012</v>
      </c>
      <c r="C429" s="382"/>
      <c r="D429" s="382"/>
      <c r="E429" s="388" t="s">
        <v>521</v>
      </c>
      <c r="F429" s="383" t="e">
        <v>#REF!</v>
      </c>
      <c r="G429" s="383"/>
      <c r="H429" s="383"/>
    </row>
    <row r="430" spans="1:8" ht="12" customHeight="1">
      <c r="A430" s="365" t="str">
        <f t="shared" si="4"/>
        <v>DA123001+PJ*</v>
      </c>
      <c r="B430" s="382" t="s">
        <v>522</v>
      </c>
      <c r="C430" s="382"/>
      <c r="D430" s="382"/>
      <c r="E430" s="388" t="s">
        <v>523</v>
      </c>
      <c r="F430" s="383" t="e">
        <v>#REF!</v>
      </c>
      <c r="G430" s="383"/>
      <c r="H430" s="383"/>
    </row>
    <row r="431" spans="1:8" ht="12" customHeight="1">
      <c r="A431" s="365" t="str">
        <f t="shared" si="4"/>
        <v>DA123001+PJ*</v>
      </c>
      <c r="B431" s="382" t="s">
        <v>1152</v>
      </c>
      <c r="C431" s="382"/>
      <c r="D431" s="382"/>
      <c r="E431" s="388" t="s">
        <v>1153</v>
      </c>
      <c r="F431" s="383" t="e">
        <v>#REF!</v>
      </c>
      <c r="G431" s="383"/>
      <c r="H431" s="383"/>
    </row>
    <row r="432" spans="1:8" ht="12" customHeight="1">
      <c r="A432" s="365" t="str">
        <f t="shared" si="4"/>
        <v>DA123001+PJ*</v>
      </c>
      <c r="B432" s="382" t="s">
        <v>1046</v>
      </c>
      <c r="C432" s="382"/>
      <c r="D432" s="382"/>
      <c r="E432" s="391" t="s">
        <v>995</v>
      </c>
      <c r="F432" s="383" t="e">
        <v>#REF!</v>
      </c>
      <c r="G432" s="383">
        <v>2500000</v>
      </c>
      <c r="H432" s="383"/>
    </row>
    <row r="433" spans="2:8" ht="12" customHeight="1">
      <c r="B433" s="382"/>
      <c r="C433" s="382"/>
      <c r="D433" s="382"/>
      <c r="E433" s="381"/>
      <c r="F433" s="383"/>
      <c r="G433" s="383"/>
      <c r="H433" s="383"/>
    </row>
    <row r="434" spans="1:8" s="384" customFormat="1" ht="12" customHeight="1">
      <c r="A434" s="365"/>
      <c r="B434" s="385" t="s">
        <v>1433</v>
      </c>
      <c r="C434" s="385" t="s">
        <v>1235</v>
      </c>
      <c r="D434" s="385" t="s">
        <v>996</v>
      </c>
      <c r="E434" s="385" t="s">
        <v>784</v>
      </c>
      <c r="F434" s="387"/>
      <c r="G434" s="387"/>
      <c r="H434" s="387"/>
    </row>
    <row r="435" spans="1:8" ht="12" customHeight="1">
      <c r="A435" s="365" t="str">
        <f>D434</f>
        <v>DA123002</v>
      </c>
      <c r="B435" s="395" t="s">
        <v>1236</v>
      </c>
      <c r="C435" s="382"/>
      <c r="D435" s="382"/>
      <c r="E435" s="388" t="s">
        <v>1237</v>
      </c>
      <c r="F435" s="383" t="e">
        <v>#REF!</v>
      </c>
      <c r="G435" s="383"/>
      <c r="H435" s="383"/>
    </row>
    <row r="436" spans="2:8" ht="12" customHeight="1">
      <c r="B436" s="382"/>
      <c r="C436" s="382"/>
      <c r="D436" s="382"/>
      <c r="E436" s="381"/>
      <c r="F436" s="383"/>
      <c r="G436" s="383"/>
      <c r="H436" s="383"/>
    </row>
    <row r="437" spans="1:8" s="384" customFormat="1" ht="12" customHeight="1">
      <c r="A437" s="365"/>
      <c r="B437" s="385" t="s">
        <v>1433</v>
      </c>
      <c r="C437" s="385" t="s">
        <v>619</v>
      </c>
      <c r="D437" s="385" t="s">
        <v>213</v>
      </c>
      <c r="E437" s="381" t="s">
        <v>440</v>
      </c>
      <c r="F437" s="387" t="e">
        <f>SUM(F438:F445)</f>
        <v>#REF!</v>
      </c>
      <c r="G437" s="387">
        <f>+'MLBSS_Receita e Despesa'!K304</f>
        <v>154513</v>
      </c>
      <c r="H437" s="387"/>
    </row>
    <row r="438" spans="2:8" ht="12" customHeight="1">
      <c r="B438" s="382" t="s">
        <v>118</v>
      </c>
      <c r="C438" s="382"/>
      <c r="D438" s="382"/>
      <c r="E438" s="388" t="s">
        <v>565</v>
      </c>
      <c r="F438" s="383" t="e">
        <v>#REF!</v>
      </c>
      <c r="G438" s="383">
        <v>25000</v>
      </c>
      <c r="H438" s="383"/>
    </row>
    <row r="439" spans="2:8" s="423" customFormat="1" ht="12" customHeight="1">
      <c r="B439" s="425" t="s">
        <v>985</v>
      </c>
      <c r="C439" s="425"/>
      <c r="D439" s="425"/>
      <c r="E439" s="438" t="s">
        <v>552</v>
      </c>
      <c r="F439" s="433" t="e">
        <v>#REF!</v>
      </c>
      <c r="G439" s="433">
        <v>194789</v>
      </c>
      <c r="H439" s="433"/>
    </row>
    <row r="440" spans="2:8" ht="12" customHeight="1">
      <c r="B440" s="382" t="s">
        <v>1046</v>
      </c>
      <c r="C440" s="382"/>
      <c r="D440" s="382"/>
      <c r="E440" s="391" t="s">
        <v>995</v>
      </c>
      <c r="F440" s="383" t="e">
        <v>#REF!</v>
      </c>
      <c r="G440" s="383"/>
      <c r="H440" s="383"/>
    </row>
    <row r="441" spans="2:8" ht="12" customHeight="1">
      <c r="B441" s="382" t="s">
        <v>1543</v>
      </c>
      <c r="C441" s="382"/>
      <c r="D441" s="382"/>
      <c r="E441" s="391" t="s">
        <v>445</v>
      </c>
      <c r="F441" s="383" t="e">
        <v>#REF!</v>
      </c>
      <c r="G441" s="383"/>
      <c r="H441" s="383"/>
    </row>
    <row r="442" spans="2:8" ht="12" customHeight="1">
      <c r="B442" s="382" t="s">
        <v>587</v>
      </c>
      <c r="C442" s="382"/>
      <c r="D442" s="382"/>
      <c r="E442" s="391" t="s">
        <v>588</v>
      </c>
      <c r="F442" s="383" t="e">
        <v>#REF!</v>
      </c>
      <c r="G442" s="383"/>
      <c r="H442" s="383"/>
    </row>
    <row r="443" spans="2:8" ht="12" customHeight="1">
      <c r="B443" s="382" t="s">
        <v>589</v>
      </c>
      <c r="C443" s="382"/>
      <c r="D443" s="382"/>
      <c r="E443" s="391" t="s">
        <v>1073</v>
      </c>
      <c r="F443" s="383" t="e">
        <v>#REF!</v>
      </c>
      <c r="G443" s="383">
        <v>76574</v>
      </c>
      <c r="H443" s="383"/>
    </row>
    <row r="444" spans="2:8" ht="12" customHeight="1">
      <c r="B444" s="382" t="s">
        <v>1074</v>
      </c>
      <c r="C444" s="382"/>
      <c r="D444" s="382"/>
      <c r="E444" s="391" t="s">
        <v>752</v>
      </c>
      <c r="F444" s="383" t="e">
        <v>#REF!</v>
      </c>
      <c r="G444" s="383">
        <v>551126</v>
      </c>
      <c r="H444" s="383"/>
    </row>
    <row r="445" spans="2:8" ht="12" customHeight="1">
      <c r="B445" s="382" t="s">
        <v>753</v>
      </c>
      <c r="C445" s="382"/>
      <c r="D445" s="382"/>
      <c r="E445" s="391" t="s">
        <v>74</v>
      </c>
      <c r="F445" s="383" t="e">
        <v>#REF!</v>
      </c>
      <c r="G445" s="383">
        <v>362517</v>
      </c>
      <c r="H445" s="383"/>
    </row>
    <row r="446" spans="2:8" ht="12" customHeight="1">
      <c r="B446" s="451"/>
      <c r="C446" s="397"/>
      <c r="D446" s="397"/>
      <c r="E446" s="451"/>
      <c r="F446" s="399"/>
      <c r="G446" s="399"/>
      <c r="H446" s="399"/>
    </row>
    <row r="447" spans="1:201" s="384" customFormat="1" ht="12" customHeight="1">
      <c r="A447" s="415"/>
      <c r="B447" s="401"/>
      <c r="C447" s="400"/>
      <c r="D447" s="400"/>
      <c r="E447" s="402" t="s">
        <v>920</v>
      </c>
      <c r="F447" s="402" t="e">
        <f>+F195+F220+F227+F234+F241+F245+F249+F257+F261+F272+F281+F284+F287+F290+F293+F295+F303+F307+F316+F318+F343+F348+F354+F363+F370+F375+F383+F390+F394+F397+F406+F411+F416+F422+F435+F437</f>
        <v>#REF!</v>
      </c>
      <c r="G447" s="402" t="e">
        <f>+G195+G220+G227+G234+G241+G245+G249+G257+G261+G272+G281+G284+G287+G290+G293+G295+G303+G307+G316+G318+G343+G348+G354+G363+G370+G375+G383+G390+G394+G396+G397+G400+G406+G411+G416+G422+G435+G437</f>
        <v>#REF!</v>
      </c>
      <c r="H447" s="402"/>
      <c r="K447" s="417"/>
      <c r="M447" s="417"/>
      <c r="N447" s="417"/>
      <c r="O447" s="418"/>
      <c r="P447" s="418"/>
      <c r="Q447" s="418"/>
      <c r="R447" s="418"/>
      <c r="S447" s="418"/>
      <c r="T447" s="416"/>
      <c r="U447" s="416"/>
      <c r="X447" s="417"/>
      <c r="Z447" s="417"/>
      <c r="AA447" s="417"/>
      <c r="AB447" s="418"/>
      <c r="AC447" s="418"/>
      <c r="AD447" s="418"/>
      <c r="AE447" s="418"/>
      <c r="AF447" s="418"/>
      <c r="AG447" s="416"/>
      <c r="AH447" s="416"/>
      <c r="AK447" s="417"/>
      <c r="AM447" s="417"/>
      <c r="AN447" s="417"/>
      <c r="AO447" s="418"/>
      <c r="AP447" s="418"/>
      <c r="AQ447" s="418"/>
      <c r="AR447" s="418"/>
      <c r="AS447" s="418"/>
      <c r="AT447" s="416"/>
      <c r="AU447" s="416"/>
      <c r="AX447" s="417"/>
      <c r="AZ447" s="417"/>
      <c r="BA447" s="417"/>
      <c r="BB447" s="418"/>
      <c r="BC447" s="418"/>
      <c r="BD447" s="418"/>
      <c r="BE447" s="418"/>
      <c r="BF447" s="418"/>
      <c r="BG447" s="416"/>
      <c r="BH447" s="416"/>
      <c r="BK447" s="417"/>
      <c r="BM447" s="417"/>
      <c r="BN447" s="417"/>
      <c r="BO447" s="418"/>
      <c r="BP447" s="418"/>
      <c r="BQ447" s="418"/>
      <c r="BR447" s="418"/>
      <c r="BS447" s="418"/>
      <c r="BT447" s="416"/>
      <c r="BU447" s="416"/>
      <c r="BX447" s="417"/>
      <c r="BZ447" s="417"/>
      <c r="CA447" s="417"/>
      <c r="CB447" s="418"/>
      <c r="CC447" s="418"/>
      <c r="CD447" s="418"/>
      <c r="CE447" s="418"/>
      <c r="CF447" s="418"/>
      <c r="CG447" s="416"/>
      <c r="CH447" s="416"/>
      <c r="CK447" s="417"/>
      <c r="CM447" s="417"/>
      <c r="CN447" s="417"/>
      <c r="CO447" s="418"/>
      <c r="CP447" s="418"/>
      <c r="CQ447" s="418"/>
      <c r="CR447" s="418"/>
      <c r="CS447" s="418"/>
      <c r="CT447" s="416"/>
      <c r="CU447" s="416"/>
      <c r="CX447" s="417"/>
      <c r="CZ447" s="417"/>
      <c r="DA447" s="417"/>
      <c r="DB447" s="418"/>
      <c r="DC447" s="418"/>
      <c r="DD447" s="418"/>
      <c r="DE447" s="418"/>
      <c r="DF447" s="418"/>
      <c r="DG447" s="416"/>
      <c r="DH447" s="416"/>
      <c r="DK447" s="417"/>
      <c r="DM447" s="417"/>
      <c r="DN447" s="417"/>
      <c r="DO447" s="418"/>
      <c r="DP447" s="418"/>
      <c r="DQ447" s="418"/>
      <c r="DR447" s="418"/>
      <c r="DS447" s="418"/>
      <c r="DT447" s="416"/>
      <c r="DU447" s="416"/>
      <c r="DX447" s="417"/>
      <c r="DZ447" s="417"/>
      <c r="EA447" s="417"/>
      <c r="EB447" s="418"/>
      <c r="EC447" s="418"/>
      <c r="ED447" s="418"/>
      <c r="EE447" s="418"/>
      <c r="EF447" s="418"/>
      <c r="EG447" s="416"/>
      <c r="EH447" s="416"/>
      <c r="EK447" s="417"/>
      <c r="EM447" s="417"/>
      <c r="EN447" s="417"/>
      <c r="EO447" s="418"/>
      <c r="EP447" s="418"/>
      <c r="EQ447" s="418"/>
      <c r="ER447" s="418"/>
      <c r="ES447" s="418"/>
      <c r="ET447" s="416"/>
      <c r="EU447" s="416"/>
      <c r="EX447" s="417"/>
      <c r="EZ447" s="417"/>
      <c r="FA447" s="417"/>
      <c r="FB447" s="418"/>
      <c r="FC447" s="418"/>
      <c r="FD447" s="418"/>
      <c r="FE447" s="418"/>
      <c r="FF447" s="418"/>
      <c r="FG447" s="416"/>
      <c r="FH447" s="416"/>
      <c r="FK447" s="417"/>
      <c r="FM447" s="417"/>
      <c r="FN447" s="417"/>
      <c r="FO447" s="418"/>
      <c r="FP447" s="418"/>
      <c r="FQ447" s="418"/>
      <c r="FR447" s="418"/>
      <c r="FS447" s="418"/>
      <c r="FT447" s="416"/>
      <c r="FU447" s="416"/>
      <c r="FX447" s="417"/>
      <c r="FZ447" s="417"/>
      <c r="GA447" s="417"/>
      <c r="GB447" s="418"/>
      <c r="GC447" s="418"/>
      <c r="GD447" s="418"/>
      <c r="GE447" s="418"/>
      <c r="GF447" s="418"/>
      <c r="GG447" s="416"/>
      <c r="GH447" s="416"/>
      <c r="GK447" s="417"/>
      <c r="GM447" s="417"/>
      <c r="GN447" s="417"/>
      <c r="GO447" s="418"/>
      <c r="GP447" s="418"/>
      <c r="GQ447" s="418"/>
      <c r="GR447" s="418"/>
      <c r="GS447" s="418"/>
    </row>
    <row r="448" spans="2:9" ht="12" customHeight="1">
      <c r="B448" s="369" t="s">
        <v>983</v>
      </c>
      <c r="C448" s="370"/>
      <c r="D448" s="370"/>
      <c r="E448" s="369"/>
      <c r="F448" s="403" t="e">
        <v>#REF!</v>
      </c>
      <c r="G448" s="403" t="e">
        <f>+'MLBSS_Receita e Despesa'!K315-Despesa!G447</f>
        <v>#REF!</v>
      </c>
      <c r="H448" s="403">
        <f>+'MLBSS_Receita e Despesa'!K269+'MLBSS_Receita e Despesa'!K267+'MLBSS_Receita e Despesa'!K266+'MLBSS_Receita e Despesa'!K265+'MLBSS_Receita e Despesa'!K264</f>
        <v>29837655</v>
      </c>
      <c r="I448" s="476" t="e">
        <f>+G448-H448</f>
        <v>#REF!</v>
      </c>
    </row>
    <row r="449" spans="2:8" ht="12" customHeight="1">
      <c r="B449" s="369" t="s">
        <v>1101</v>
      </c>
      <c r="C449" s="370"/>
      <c r="D449" s="370"/>
      <c r="E449" s="369"/>
      <c r="F449" s="369"/>
      <c r="G449" s="369"/>
      <c r="H449" s="522" t="e">
        <f>+G448-H448</f>
        <v>#REF!</v>
      </c>
    </row>
    <row r="450" spans="2:8" ht="12" customHeight="1">
      <c r="B450" s="371"/>
      <c r="E450" s="404"/>
      <c r="F450" s="404"/>
      <c r="G450" s="521"/>
      <c r="H450" s="404"/>
    </row>
    <row r="451" spans="2:8" ht="12" customHeight="1">
      <c r="B451" s="373" t="s">
        <v>1360</v>
      </c>
      <c r="C451" s="374"/>
      <c r="D451" s="374"/>
      <c r="E451" s="373"/>
      <c r="F451" s="373" t="s">
        <v>1361</v>
      </c>
      <c r="G451" s="373" t="s">
        <v>1361</v>
      </c>
      <c r="H451" s="373"/>
    </row>
    <row r="452" spans="2:8" ht="12" customHeight="1">
      <c r="B452" s="375" t="s">
        <v>1362</v>
      </c>
      <c r="C452" s="376" t="s">
        <v>1363</v>
      </c>
      <c r="D452" s="376" t="s">
        <v>831</v>
      </c>
      <c r="E452" s="375" t="s">
        <v>1080</v>
      </c>
      <c r="F452" s="375">
        <v>2008</v>
      </c>
      <c r="G452" s="375">
        <v>2008</v>
      </c>
      <c r="H452" s="375" t="s">
        <v>1496</v>
      </c>
    </row>
    <row r="453" spans="2:8" ht="12" customHeight="1">
      <c r="B453" s="377" t="s">
        <v>832</v>
      </c>
      <c r="C453" s="378"/>
      <c r="D453" s="378"/>
      <c r="E453" s="377"/>
      <c r="F453" s="377" t="s">
        <v>1098</v>
      </c>
      <c r="G453" s="377" t="s">
        <v>833</v>
      </c>
      <c r="H453" s="377"/>
    </row>
    <row r="454" spans="2:8" ht="12" customHeight="1">
      <c r="B454" s="452"/>
      <c r="C454" s="382"/>
      <c r="D454" s="382"/>
      <c r="E454" s="452"/>
      <c r="F454" s="453"/>
      <c r="G454" s="453"/>
      <c r="H454" s="453"/>
    </row>
    <row r="455" spans="2:8" ht="12" customHeight="1">
      <c r="B455" s="381"/>
      <c r="C455" s="382"/>
      <c r="D455" s="382"/>
      <c r="E455" s="381" t="s">
        <v>1291</v>
      </c>
      <c r="F455" s="383"/>
      <c r="G455" s="383"/>
      <c r="H455" s="383"/>
    </row>
    <row r="456" spans="2:8" ht="12" customHeight="1">
      <c r="B456" s="381"/>
      <c r="C456" s="382"/>
      <c r="D456" s="382"/>
      <c r="E456" s="381"/>
      <c r="F456" s="383"/>
      <c r="G456" s="383"/>
      <c r="H456" s="383"/>
    </row>
    <row r="457" spans="2:8" ht="12" customHeight="1">
      <c r="B457" s="385" t="s">
        <v>1433</v>
      </c>
      <c r="C457" s="385" t="s">
        <v>275</v>
      </c>
      <c r="D457" s="385" t="s">
        <v>817</v>
      </c>
      <c r="E457" s="454" t="s">
        <v>276</v>
      </c>
      <c r="F457" s="387" t="e">
        <f>+F458+F459+F460+F461+F462+F467+F472+F473+F474+F476+F480+F485+F487+F492</f>
        <v>#REF!</v>
      </c>
      <c r="G457" s="387">
        <f>+G458+G459+G460+G461+G462+G467+G472+G473+G474+G476+G480+G485+G487+G492</f>
        <v>13590403536</v>
      </c>
      <c r="H457" s="387"/>
    </row>
    <row r="458" spans="1:8" ht="12" customHeight="1">
      <c r="A458" s="365" t="str">
        <f>D457</f>
        <v>DA211001</v>
      </c>
      <c r="B458" s="395" t="s">
        <v>277</v>
      </c>
      <c r="C458" s="385" t="s">
        <v>275</v>
      </c>
      <c r="D458" s="385" t="s">
        <v>817</v>
      </c>
      <c r="E458" s="391" t="s">
        <v>1081</v>
      </c>
      <c r="F458" s="383" t="e">
        <v>#REF!</v>
      </c>
      <c r="G458" s="383">
        <f>+'MLBSS_Receita e Despesa'!K354</f>
        <v>453107737</v>
      </c>
      <c r="H458" s="383"/>
    </row>
    <row r="459" spans="1:8" ht="12" customHeight="1">
      <c r="A459" s="365" t="str">
        <f>D457</f>
        <v>DA211001</v>
      </c>
      <c r="B459" s="395" t="s">
        <v>430</v>
      </c>
      <c r="C459" s="385" t="s">
        <v>275</v>
      </c>
      <c r="D459" s="385" t="s">
        <v>817</v>
      </c>
      <c r="E459" s="391" t="s">
        <v>1082</v>
      </c>
      <c r="F459" s="383" t="e">
        <v>#REF!</v>
      </c>
      <c r="G459" s="383">
        <f>+'MLBSS_Receita e Despesa'!K355</f>
        <v>3724384</v>
      </c>
      <c r="H459" s="383"/>
    </row>
    <row r="460" spans="1:8" ht="12" customHeight="1">
      <c r="A460" s="365" t="str">
        <f>D457</f>
        <v>DA211001</v>
      </c>
      <c r="B460" s="395" t="s">
        <v>431</v>
      </c>
      <c r="C460" s="385" t="s">
        <v>275</v>
      </c>
      <c r="D460" s="385" t="s">
        <v>817</v>
      </c>
      <c r="E460" s="391" t="s">
        <v>97</v>
      </c>
      <c r="F460" s="383" t="e">
        <v>#REF!</v>
      </c>
      <c r="G460" s="383">
        <f>+'MLBSS_Receita e Despesa'!K356</f>
        <v>427428000</v>
      </c>
      <c r="H460" s="383"/>
    </row>
    <row r="461" spans="1:8" ht="12" customHeight="1">
      <c r="A461" s="365" t="str">
        <f>D457</f>
        <v>DA211001</v>
      </c>
      <c r="B461" s="395" t="s">
        <v>432</v>
      </c>
      <c r="C461" s="385" t="s">
        <v>275</v>
      </c>
      <c r="D461" s="385" t="s">
        <v>817</v>
      </c>
      <c r="E461" s="391" t="s">
        <v>306</v>
      </c>
      <c r="F461" s="383" t="e">
        <v>#REF!</v>
      </c>
      <c r="G461" s="383">
        <f>+'MLBSS_Receita e Despesa'!K357-G462-G467</f>
        <v>15680405</v>
      </c>
      <c r="H461" s="383"/>
    </row>
    <row r="462" spans="1:8" ht="12" customHeight="1">
      <c r="A462" s="455"/>
      <c r="B462" s="409" t="s">
        <v>433</v>
      </c>
      <c r="C462" s="385" t="s">
        <v>434</v>
      </c>
      <c r="D462" s="385" t="s">
        <v>75</v>
      </c>
      <c r="E462" s="391" t="s">
        <v>433</v>
      </c>
      <c r="F462" s="383" t="e">
        <f>SUM(F463:F466)</f>
        <v>#REF!</v>
      </c>
      <c r="G462" s="383">
        <f>SUM(G463:G466)</f>
        <v>1347280</v>
      </c>
      <c r="H462" s="383"/>
    </row>
    <row r="463" spans="1:8" ht="12" customHeight="1">
      <c r="A463" s="455"/>
      <c r="B463" s="391" t="s">
        <v>1466</v>
      </c>
      <c r="C463" s="385"/>
      <c r="D463" s="385"/>
      <c r="E463" s="456" t="s">
        <v>765</v>
      </c>
      <c r="F463" s="383" t="e">
        <v>#REF!</v>
      </c>
      <c r="G463" s="383">
        <v>450530</v>
      </c>
      <c r="H463" s="383"/>
    </row>
    <row r="464" spans="1:8" ht="12" customHeight="1">
      <c r="A464" s="455"/>
      <c r="B464" s="391" t="s">
        <v>1467</v>
      </c>
      <c r="C464" s="385"/>
      <c r="D464" s="385"/>
      <c r="E464" s="456" t="s">
        <v>785</v>
      </c>
      <c r="F464" s="383" t="e">
        <v>#REF!</v>
      </c>
      <c r="G464" s="383">
        <v>891750</v>
      </c>
      <c r="H464" s="383"/>
    </row>
    <row r="465" spans="1:8" ht="12" customHeight="1">
      <c r="A465" s="455"/>
      <c r="B465" s="391" t="s">
        <v>1468</v>
      </c>
      <c r="C465" s="385"/>
      <c r="D465" s="385"/>
      <c r="E465" s="456" t="s">
        <v>813</v>
      </c>
      <c r="F465" s="383" t="e">
        <v>#REF!</v>
      </c>
      <c r="G465" s="383">
        <v>0</v>
      </c>
      <c r="H465" s="383"/>
    </row>
    <row r="466" spans="1:8" ht="12" customHeight="1">
      <c r="A466" s="455"/>
      <c r="B466" s="391" t="s">
        <v>118</v>
      </c>
      <c r="C466" s="385"/>
      <c r="D466" s="385"/>
      <c r="E466" s="456" t="s">
        <v>565</v>
      </c>
      <c r="F466" s="383" t="e">
        <v>#REF!</v>
      </c>
      <c r="G466" s="383">
        <v>5000</v>
      </c>
      <c r="H466" s="383"/>
    </row>
    <row r="467" spans="1:8" ht="12" customHeight="1">
      <c r="A467" s="455"/>
      <c r="B467" s="409" t="s">
        <v>436</v>
      </c>
      <c r="C467" s="385" t="s">
        <v>437</v>
      </c>
      <c r="D467" s="385" t="s">
        <v>672</v>
      </c>
      <c r="E467" s="391" t="s">
        <v>436</v>
      </c>
      <c r="F467" s="383" t="e">
        <f>SUM(F468:F471)</f>
        <v>#REF!</v>
      </c>
      <c r="G467" s="383">
        <f>SUM(G468:G471)</f>
        <v>328600</v>
      </c>
      <c r="H467" s="383"/>
    </row>
    <row r="468" spans="1:8" ht="12" customHeight="1">
      <c r="A468" s="455"/>
      <c r="B468" s="391" t="s">
        <v>1466</v>
      </c>
      <c r="C468" s="382"/>
      <c r="D468" s="382"/>
      <c r="E468" s="456" t="s">
        <v>765</v>
      </c>
      <c r="F468" s="383" t="e">
        <v>#REF!</v>
      </c>
      <c r="G468" s="383">
        <v>176600</v>
      </c>
      <c r="H468" s="383"/>
    </row>
    <row r="469" spans="1:8" ht="12" customHeight="1">
      <c r="A469" s="455"/>
      <c r="B469" s="391" t="s">
        <v>1467</v>
      </c>
      <c r="C469" s="382"/>
      <c r="D469" s="382"/>
      <c r="E469" s="456" t="s">
        <v>785</v>
      </c>
      <c r="F469" s="383" t="e">
        <v>#REF!</v>
      </c>
      <c r="G469" s="383">
        <v>140500</v>
      </c>
      <c r="H469" s="383"/>
    </row>
    <row r="470" spans="1:8" ht="12" customHeight="1">
      <c r="A470" s="455"/>
      <c r="B470" s="391" t="s">
        <v>1468</v>
      </c>
      <c r="C470" s="382"/>
      <c r="D470" s="382"/>
      <c r="E470" s="456" t="s">
        <v>813</v>
      </c>
      <c r="F470" s="383" t="e">
        <v>#REF!</v>
      </c>
      <c r="G470" s="383">
        <v>0</v>
      </c>
      <c r="H470" s="383"/>
    </row>
    <row r="471" spans="1:8" ht="12" customHeight="1">
      <c r="A471" s="455"/>
      <c r="B471" s="391" t="s">
        <v>118</v>
      </c>
      <c r="C471" s="382"/>
      <c r="D471" s="382"/>
      <c r="E471" s="456" t="s">
        <v>565</v>
      </c>
      <c r="F471" s="383" t="e">
        <v>#REF!</v>
      </c>
      <c r="G471" s="383">
        <v>11500</v>
      </c>
      <c r="H471" s="383"/>
    </row>
    <row r="472" spans="1:8" ht="12" customHeight="1">
      <c r="A472" s="365" t="str">
        <f>D457</f>
        <v>DA211001</v>
      </c>
      <c r="B472" s="395" t="s">
        <v>285</v>
      </c>
      <c r="C472" s="385" t="s">
        <v>275</v>
      </c>
      <c r="D472" s="385" t="s">
        <v>817</v>
      </c>
      <c r="E472" s="391" t="s">
        <v>866</v>
      </c>
      <c r="F472" s="383" t="e">
        <v>#REF!</v>
      </c>
      <c r="G472" s="383">
        <f>+'MLBSS_Receita e Despesa'!K358</f>
        <v>1574016675</v>
      </c>
      <c r="H472" s="383"/>
    </row>
    <row r="473" spans="1:8" ht="12" customHeight="1">
      <c r="A473" s="365" t="str">
        <f>D457</f>
        <v>DA211001</v>
      </c>
      <c r="B473" s="395" t="s">
        <v>286</v>
      </c>
      <c r="C473" s="385" t="s">
        <v>275</v>
      </c>
      <c r="D473" s="385" t="s">
        <v>817</v>
      </c>
      <c r="E473" s="391" t="s">
        <v>194</v>
      </c>
      <c r="F473" s="383" t="e">
        <v>#REF!</v>
      </c>
      <c r="G473" s="383">
        <f>+'MLBSS_Receita e Despesa'!K359</f>
        <v>57000000</v>
      </c>
      <c r="H473" s="383"/>
    </row>
    <row r="474" spans="1:8" ht="12" customHeight="1">
      <c r="A474" s="365" t="str">
        <f>D457</f>
        <v>DA211001</v>
      </c>
      <c r="B474" s="395" t="s">
        <v>287</v>
      </c>
      <c r="C474" s="385" t="s">
        <v>275</v>
      </c>
      <c r="D474" s="385" t="s">
        <v>817</v>
      </c>
      <c r="E474" s="391" t="s">
        <v>23</v>
      </c>
      <c r="F474" s="383" t="e">
        <v>#REF!</v>
      </c>
      <c r="G474" s="383">
        <f>+'MLBSS_Receita e Despesa'!K360</f>
        <v>220283613</v>
      </c>
      <c r="H474" s="383"/>
    </row>
    <row r="475" spans="2:8" ht="12" customHeight="1">
      <c r="B475" s="386"/>
      <c r="C475" s="382"/>
      <c r="D475" s="382"/>
      <c r="E475" s="391"/>
      <c r="F475" s="383"/>
      <c r="G475" s="383"/>
      <c r="H475" s="383"/>
    </row>
    <row r="476" spans="2:8" ht="12" customHeight="1">
      <c r="B476" s="386"/>
      <c r="C476" s="382"/>
      <c r="D476" s="385" t="s">
        <v>817</v>
      </c>
      <c r="E476" s="391" t="s">
        <v>25</v>
      </c>
      <c r="F476" s="383" t="e">
        <f>+F477+F478</f>
        <v>#REF!</v>
      </c>
      <c r="G476" s="383">
        <f>+G477+G478</f>
        <v>0</v>
      </c>
      <c r="H476" s="383"/>
    </row>
    <row r="477" spans="1:8" ht="12" customHeight="1">
      <c r="A477" s="365" t="str">
        <f>D476</f>
        <v>DA211001</v>
      </c>
      <c r="B477" s="395" t="s">
        <v>288</v>
      </c>
      <c r="C477" s="385" t="s">
        <v>275</v>
      </c>
      <c r="D477" s="382"/>
      <c r="E477" s="394" t="s">
        <v>26</v>
      </c>
      <c r="F477" s="383" t="e">
        <v>#REF!</v>
      </c>
      <c r="G477" s="383">
        <f>+'MLBSS_Receita e Despesa'!K363</f>
        <v>0</v>
      </c>
      <c r="H477" s="383"/>
    </row>
    <row r="478" spans="1:8" ht="12" customHeight="1">
      <c r="A478" s="365" t="str">
        <f>D476</f>
        <v>DA211001</v>
      </c>
      <c r="B478" s="395" t="s">
        <v>289</v>
      </c>
      <c r="C478" s="382"/>
      <c r="D478" s="382"/>
      <c r="E478" s="394" t="s">
        <v>28</v>
      </c>
      <c r="F478" s="383" t="e">
        <v>#REF!</v>
      </c>
      <c r="G478" s="383">
        <f>+'MLBSS_Receita e Despesa'!K364</f>
        <v>0</v>
      </c>
      <c r="H478" s="383"/>
    </row>
    <row r="479" spans="2:8" ht="12" customHeight="1">
      <c r="B479" s="382"/>
      <c r="C479" s="382"/>
      <c r="D479" s="382"/>
      <c r="E479" s="382"/>
      <c r="F479" s="383"/>
      <c r="G479" s="383"/>
      <c r="H479" s="383"/>
    </row>
    <row r="480" spans="2:8" ht="12" customHeight="1">
      <c r="B480" s="382"/>
      <c r="C480" s="385" t="s">
        <v>275</v>
      </c>
      <c r="D480" s="385" t="s">
        <v>817</v>
      </c>
      <c r="E480" s="388" t="s">
        <v>673</v>
      </c>
      <c r="F480" s="383" t="e">
        <f>SUM(F481:F483)</f>
        <v>#REF!</v>
      </c>
      <c r="G480" s="383">
        <f>SUM(G481:G483)</f>
        <v>10830596231</v>
      </c>
      <c r="H480" s="383"/>
    </row>
    <row r="481" spans="1:8" ht="12" customHeight="1">
      <c r="A481" s="365" t="str">
        <f>D480</f>
        <v>DA211001</v>
      </c>
      <c r="B481" s="395" t="s">
        <v>291</v>
      </c>
      <c r="C481" s="382"/>
      <c r="D481" s="382"/>
      <c r="E481" s="394" t="s">
        <v>29</v>
      </c>
      <c r="F481" s="383" t="e">
        <v>#REF!</v>
      </c>
      <c r="G481" s="383">
        <f>+'MLBSS_Receita e Despesa'!K367</f>
        <v>955773651</v>
      </c>
      <c r="H481" s="383"/>
    </row>
    <row r="482" spans="1:8" ht="12" customHeight="1">
      <c r="A482" s="365" t="str">
        <f>D480</f>
        <v>DA211001</v>
      </c>
      <c r="B482" s="395" t="s">
        <v>292</v>
      </c>
      <c r="C482" s="382"/>
      <c r="D482" s="382"/>
      <c r="E482" s="394" t="s">
        <v>26</v>
      </c>
      <c r="F482" s="383" t="e">
        <v>#REF!</v>
      </c>
      <c r="G482" s="383">
        <f>+'MLBSS_Receita e Despesa'!K368</f>
        <v>8251082429</v>
      </c>
      <c r="H482" s="383"/>
    </row>
    <row r="483" spans="1:8" ht="12" customHeight="1">
      <c r="A483" s="365" t="str">
        <f>D480</f>
        <v>DA211001</v>
      </c>
      <c r="B483" s="395" t="s">
        <v>867</v>
      </c>
      <c r="C483" s="382"/>
      <c r="D483" s="382"/>
      <c r="E483" s="394" t="s">
        <v>28</v>
      </c>
      <c r="F483" s="383" t="e">
        <v>#REF!</v>
      </c>
      <c r="G483" s="383">
        <f>+'MLBSS_Receita e Despesa'!K369</f>
        <v>1623740151</v>
      </c>
      <c r="H483" s="383"/>
    </row>
    <row r="484" spans="2:8" ht="12" customHeight="1">
      <c r="B484" s="395"/>
      <c r="C484" s="382"/>
      <c r="D484" s="382"/>
      <c r="E484" s="394"/>
      <c r="F484" s="383"/>
      <c r="G484" s="383"/>
      <c r="H484" s="383"/>
    </row>
    <row r="485" spans="1:8" ht="12" customHeight="1">
      <c r="A485" s="365" t="str">
        <f>D485</f>
        <v>DA211001</v>
      </c>
      <c r="B485" s="395" t="s">
        <v>1214</v>
      </c>
      <c r="C485" s="385" t="s">
        <v>275</v>
      </c>
      <c r="D485" s="385" t="s">
        <v>817</v>
      </c>
      <c r="E485" s="391" t="s">
        <v>1215</v>
      </c>
      <c r="F485" s="383" t="e">
        <v>#REF!</v>
      </c>
      <c r="G485" s="383">
        <f>+'MLBSS_Receita e Despesa'!K371</f>
        <v>634596</v>
      </c>
      <c r="H485" s="383"/>
    </row>
    <row r="486" spans="2:8" ht="12" customHeight="1">
      <c r="B486" s="406"/>
      <c r="C486" s="382"/>
      <c r="D486" s="382"/>
      <c r="E486" s="382"/>
      <c r="F486" s="383"/>
      <c r="G486" s="383"/>
      <c r="H486" s="383"/>
    </row>
    <row r="487" spans="2:8" ht="12" customHeight="1">
      <c r="B487" s="394"/>
      <c r="C487" s="385" t="s">
        <v>275</v>
      </c>
      <c r="D487" s="385" t="s">
        <v>817</v>
      </c>
      <c r="E487" s="388" t="s">
        <v>307</v>
      </c>
      <c r="F487" s="383" t="e">
        <f>SUM(F488:F490)</f>
        <v>#REF!</v>
      </c>
      <c r="G487" s="383">
        <f>SUM(G488:G490)</f>
        <v>1302895</v>
      </c>
      <c r="H487" s="383"/>
    </row>
    <row r="488" spans="1:8" ht="12" customHeight="1">
      <c r="A488" s="365" t="str">
        <f>D487</f>
        <v>DA211001</v>
      </c>
      <c r="B488" s="395" t="s">
        <v>1216</v>
      </c>
      <c r="C488" s="382"/>
      <c r="D488" s="382"/>
      <c r="E488" s="394" t="s">
        <v>29</v>
      </c>
      <c r="F488" s="383" t="e">
        <v>#REF!</v>
      </c>
      <c r="G488" s="383">
        <f>+'MLBSS_Receita e Despesa'!K374</f>
        <v>21066</v>
      </c>
      <c r="H488" s="383"/>
    </row>
    <row r="489" spans="1:8" ht="12" customHeight="1">
      <c r="A489" s="365" t="str">
        <f>D487</f>
        <v>DA211001</v>
      </c>
      <c r="B489" s="395" t="s">
        <v>226</v>
      </c>
      <c r="C489" s="382"/>
      <c r="D489" s="382"/>
      <c r="E489" s="394" t="s">
        <v>26</v>
      </c>
      <c r="F489" s="383" t="e">
        <v>#REF!</v>
      </c>
      <c r="G489" s="383">
        <f>+'MLBSS_Receita e Despesa'!K375</f>
        <v>1281829</v>
      </c>
      <c r="H489" s="383"/>
    </row>
    <row r="490" spans="1:8" ht="12" customHeight="1">
      <c r="A490" s="365" t="str">
        <f>D487</f>
        <v>DA211001</v>
      </c>
      <c r="B490" s="395" t="s">
        <v>227</v>
      </c>
      <c r="C490" s="382"/>
      <c r="D490" s="382"/>
      <c r="E490" s="394" t="s">
        <v>28</v>
      </c>
      <c r="F490" s="383" t="e">
        <v>#REF!</v>
      </c>
      <c r="G490" s="383"/>
      <c r="H490" s="383"/>
    </row>
    <row r="491" spans="2:8" ht="12" customHeight="1">
      <c r="B491" s="394"/>
      <c r="C491" s="382"/>
      <c r="D491" s="382"/>
      <c r="E491" s="391"/>
      <c r="F491" s="383"/>
      <c r="G491" s="383"/>
      <c r="H491" s="383"/>
    </row>
    <row r="492" spans="1:8" ht="12" customHeight="1">
      <c r="A492" s="365" t="str">
        <f>D492</f>
        <v>DA211001</v>
      </c>
      <c r="B492" s="395" t="s">
        <v>691</v>
      </c>
      <c r="C492" s="385" t="s">
        <v>275</v>
      </c>
      <c r="D492" s="385" t="s">
        <v>817</v>
      </c>
      <c r="E492" s="391" t="s">
        <v>214</v>
      </c>
      <c r="F492" s="383" t="e">
        <v>#REF!</v>
      </c>
      <c r="G492" s="383">
        <f>+'MLBSS_Receita e Despesa'!K385</f>
        <v>4953120</v>
      </c>
      <c r="H492" s="383"/>
    </row>
    <row r="493" spans="2:8" ht="12" customHeight="1">
      <c r="B493" s="406"/>
      <c r="C493" s="382"/>
      <c r="D493" s="382"/>
      <c r="E493" s="388"/>
      <c r="F493" s="383"/>
      <c r="G493" s="383"/>
      <c r="H493" s="383"/>
    </row>
    <row r="494" spans="2:8" ht="12" customHeight="1">
      <c r="B494" s="385" t="s">
        <v>1433</v>
      </c>
      <c r="C494" s="385" t="s">
        <v>354</v>
      </c>
      <c r="D494" s="385" t="s">
        <v>818</v>
      </c>
      <c r="E494" s="454" t="s">
        <v>1015</v>
      </c>
      <c r="F494" s="383"/>
      <c r="G494" s="383"/>
      <c r="H494" s="383"/>
    </row>
    <row r="495" spans="1:8" ht="12" customHeight="1">
      <c r="A495" s="365" t="str">
        <f>D494</f>
        <v>DA211003</v>
      </c>
      <c r="B495" s="395" t="s">
        <v>910</v>
      </c>
      <c r="C495" s="382"/>
      <c r="D495" s="382"/>
      <c r="E495" s="394" t="s">
        <v>1490</v>
      </c>
      <c r="F495" s="383" t="e">
        <v>#REF!</v>
      </c>
      <c r="G495" s="383">
        <f>+'MLBSS_Receita e Despesa'!K387</f>
        <v>5179780</v>
      </c>
      <c r="H495" s="383"/>
    </row>
    <row r="496" spans="2:8" ht="12" customHeight="1">
      <c r="B496" s="395"/>
      <c r="C496" s="382"/>
      <c r="D496" s="382"/>
      <c r="E496" s="391"/>
      <c r="F496" s="383"/>
      <c r="G496" s="383"/>
      <c r="H496" s="383"/>
    </row>
    <row r="497" spans="2:8" ht="12" customHeight="1">
      <c r="B497" s="385" t="s">
        <v>1433</v>
      </c>
      <c r="C497" s="389" t="s">
        <v>1540</v>
      </c>
      <c r="D497" s="385" t="s">
        <v>1211</v>
      </c>
      <c r="E497" s="381" t="s">
        <v>1473</v>
      </c>
      <c r="F497" s="387" t="e">
        <f>SUM(F498:F501)</f>
        <v>#REF!</v>
      </c>
      <c r="G497" s="387">
        <f>SUM(G498:G501)</f>
        <v>117265902</v>
      </c>
      <c r="H497" s="387"/>
    </row>
    <row r="498" spans="1:8" ht="12" customHeight="1">
      <c r="A498" s="365" t="str">
        <f>D497</f>
        <v>DA211004</v>
      </c>
      <c r="B498" s="382" t="s">
        <v>529</v>
      </c>
      <c r="C498" s="382"/>
      <c r="D498" s="382"/>
      <c r="E498" s="394" t="s">
        <v>1402</v>
      </c>
      <c r="F498" s="383" t="e">
        <v>#REF!</v>
      </c>
      <c r="G498" s="383">
        <f>+'MLBSS_Receita e Despesa'!K391</f>
        <v>4000000</v>
      </c>
      <c r="H498" s="383"/>
    </row>
    <row r="499" spans="1:8" ht="12" customHeight="1">
      <c r="A499" s="365" t="str">
        <f>D497</f>
        <v>DA211004</v>
      </c>
      <c r="B499" s="382" t="s">
        <v>530</v>
      </c>
      <c r="C499" s="382"/>
      <c r="D499" s="382"/>
      <c r="E499" s="394" t="s">
        <v>1404</v>
      </c>
      <c r="F499" s="383" t="e">
        <v>#REF!</v>
      </c>
      <c r="G499" s="383">
        <f>+'MLBSS_Receita e Despesa'!K392</f>
        <v>112500000</v>
      </c>
      <c r="H499" s="383"/>
    </row>
    <row r="500" spans="1:8" ht="12" customHeight="1">
      <c r="A500" s="365" t="str">
        <f>D497</f>
        <v>DA211004</v>
      </c>
      <c r="B500" s="382" t="s">
        <v>531</v>
      </c>
      <c r="C500" s="382"/>
      <c r="D500" s="382"/>
      <c r="E500" s="394" t="s">
        <v>194</v>
      </c>
      <c r="F500" s="383" t="e">
        <v>#REF!</v>
      </c>
      <c r="G500" s="383">
        <f>+'MLBSS_Receita e Despesa'!K393</f>
        <v>735903</v>
      </c>
      <c r="H500" s="383"/>
    </row>
    <row r="501" spans="1:8" ht="12" customHeight="1">
      <c r="A501" s="365" t="str">
        <f>D497</f>
        <v>DA211004</v>
      </c>
      <c r="B501" s="382" t="s">
        <v>533</v>
      </c>
      <c r="C501" s="382"/>
      <c r="D501" s="382"/>
      <c r="E501" s="394" t="s">
        <v>1</v>
      </c>
      <c r="F501" s="383" t="e">
        <v>#REF!</v>
      </c>
      <c r="G501" s="383">
        <f>+'MLBSS_Receita e Despesa'!K394</f>
        <v>29999</v>
      </c>
      <c r="H501" s="383"/>
    </row>
    <row r="502" spans="2:8" ht="12" customHeight="1">
      <c r="B502" s="391"/>
      <c r="C502" s="382"/>
      <c r="D502" s="382"/>
      <c r="E502" s="394"/>
      <c r="F502" s="383"/>
      <c r="G502" s="383"/>
      <c r="H502" s="383"/>
    </row>
    <row r="503" spans="2:8" ht="12" customHeight="1">
      <c r="B503" s="385" t="s">
        <v>1433</v>
      </c>
      <c r="C503" s="389" t="s">
        <v>812</v>
      </c>
      <c r="D503" s="385" t="s">
        <v>215</v>
      </c>
      <c r="E503" s="386" t="s">
        <v>190</v>
      </c>
      <c r="F503" s="387" t="e">
        <f>SUM(F504:F509)</f>
        <v>#REF!</v>
      </c>
      <c r="G503" s="387">
        <f>+'MLBSS_Receita e Despesa'!K396</f>
        <v>3000000</v>
      </c>
      <c r="H503" s="387"/>
    </row>
    <row r="504" spans="2:8" ht="12" customHeight="1">
      <c r="B504" s="382" t="s">
        <v>1466</v>
      </c>
      <c r="C504" s="382"/>
      <c r="D504" s="382"/>
      <c r="E504" s="457" t="s">
        <v>765</v>
      </c>
      <c r="F504" s="383" t="e">
        <v>#REF!</v>
      </c>
      <c r="G504" s="383">
        <v>3381304</v>
      </c>
      <c r="H504" s="383"/>
    </row>
    <row r="505" spans="2:8" ht="12" customHeight="1">
      <c r="B505" s="382" t="s">
        <v>1467</v>
      </c>
      <c r="C505" s="382"/>
      <c r="D505" s="382"/>
      <c r="E505" s="457" t="s">
        <v>785</v>
      </c>
      <c r="F505" s="383" t="e">
        <v>#REF!</v>
      </c>
      <c r="G505" s="383">
        <v>2898472</v>
      </c>
      <c r="H505" s="383"/>
    </row>
    <row r="506" spans="2:8" ht="12" customHeight="1">
      <c r="B506" s="382" t="s">
        <v>1468</v>
      </c>
      <c r="C506" s="382"/>
      <c r="D506" s="382"/>
      <c r="E506" s="457" t="s">
        <v>813</v>
      </c>
      <c r="F506" s="383" t="e">
        <v>#REF!</v>
      </c>
      <c r="G506" s="383"/>
      <c r="H506" s="383"/>
    </row>
    <row r="507" spans="2:8" ht="12" customHeight="1">
      <c r="B507" s="382" t="s">
        <v>871</v>
      </c>
      <c r="C507" s="382"/>
      <c r="D507" s="382"/>
      <c r="E507" s="457" t="s">
        <v>674</v>
      </c>
      <c r="F507" s="383" t="e">
        <v>#REF!</v>
      </c>
      <c r="G507" s="383"/>
      <c r="H507" s="383"/>
    </row>
    <row r="508" spans="2:8" ht="12" customHeight="1">
      <c r="B508" s="382" t="s">
        <v>856</v>
      </c>
      <c r="C508" s="382"/>
      <c r="D508" s="382"/>
      <c r="E508" s="457" t="s">
        <v>1427</v>
      </c>
      <c r="F508" s="383" t="e">
        <v>#REF!</v>
      </c>
      <c r="G508" s="383"/>
      <c r="H508" s="383"/>
    </row>
    <row r="509" spans="2:8" ht="12" customHeight="1">
      <c r="B509" s="382" t="s">
        <v>118</v>
      </c>
      <c r="C509" s="382"/>
      <c r="D509" s="382"/>
      <c r="E509" s="457" t="s">
        <v>565</v>
      </c>
      <c r="F509" s="383" t="e">
        <v>#REF!</v>
      </c>
      <c r="G509" s="383"/>
      <c r="H509" s="383"/>
    </row>
    <row r="510" spans="2:8" ht="12" customHeight="1">
      <c r="B510" s="386"/>
      <c r="C510" s="382"/>
      <c r="D510" s="382"/>
      <c r="E510" s="386"/>
      <c r="F510" s="383"/>
      <c r="G510" s="383"/>
      <c r="H510" s="383"/>
    </row>
    <row r="511" spans="2:8" ht="12" customHeight="1">
      <c r="B511" s="385" t="s">
        <v>1433</v>
      </c>
      <c r="C511" s="389" t="s">
        <v>787</v>
      </c>
      <c r="D511" s="385" t="s">
        <v>539</v>
      </c>
      <c r="E511" s="406" t="s">
        <v>170</v>
      </c>
      <c r="F511" s="387" t="e">
        <f>SUM(F512:F517)</f>
        <v>#REF!</v>
      </c>
      <c r="G511" s="387">
        <f>SUM(G512:G517)</f>
        <v>593403400</v>
      </c>
      <c r="H511" s="387"/>
    </row>
    <row r="512" spans="1:8" ht="12" customHeight="1">
      <c r="A512" s="365" t="str">
        <f>D511</f>
        <v>DA211005</v>
      </c>
      <c r="B512" s="382" t="s">
        <v>171</v>
      </c>
      <c r="C512" s="382"/>
      <c r="D512" s="382"/>
      <c r="E512" s="394" t="s">
        <v>1104</v>
      </c>
      <c r="F512" s="383" t="e">
        <v>#REF!</v>
      </c>
      <c r="G512" s="383">
        <f>+'MLBSS_Receita e Despesa'!K400</f>
        <v>535405153</v>
      </c>
      <c r="H512" s="383"/>
    </row>
    <row r="513" spans="1:8" ht="12" customHeight="1">
      <c r="A513" s="365" t="str">
        <f>D511</f>
        <v>DA211005</v>
      </c>
      <c r="B513" s="382" t="s">
        <v>1463</v>
      </c>
      <c r="C513" s="382"/>
      <c r="D513" s="382"/>
      <c r="E513" s="394" t="s">
        <v>210</v>
      </c>
      <c r="F513" s="383" t="e">
        <v>#REF!</v>
      </c>
      <c r="G513" s="383">
        <f>+'MLBSS_Receita e Despesa'!K401</f>
        <v>26017241</v>
      </c>
      <c r="H513" s="383"/>
    </row>
    <row r="514" spans="1:8" ht="12" customHeight="1">
      <c r="A514" s="365" t="str">
        <f>D511</f>
        <v>DA211005</v>
      </c>
      <c r="B514" s="382" t="s">
        <v>1175</v>
      </c>
      <c r="C514" s="382"/>
      <c r="D514" s="382"/>
      <c r="E514" s="394" t="s">
        <v>211</v>
      </c>
      <c r="F514" s="383" t="e">
        <v>#REF!</v>
      </c>
      <c r="G514" s="383">
        <f>+'MLBSS_Receita e Despesa'!K402</f>
        <v>3902586</v>
      </c>
      <c r="H514" s="383"/>
    </row>
    <row r="515" spans="1:8" ht="12" customHeight="1">
      <c r="A515" s="365" t="str">
        <f>D511</f>
        <v>DA211005</v>
      </c>
      <c r="B515" s="382" t="s">
        <v>1174</v>
      </c>
      <c r="C515" s="382"/>
      <c r="D515" s="382"/>
      <c r="E515" s="394" t="s">
        <v>48</v>
      </c>
      <c r="F515" s="383" t="e">
        <v>#REF!</v>
      </c>
      <c r="G515" s="383">
        <f>+'MLBSS_Receita e Despesa'!K403</f>
        <v>5305172</v>
      </c>
      <c r="H515" s="383"/>
    </row>
    <row r="516" spans="1:8" ht="12" customHeight="1">
      <c r="A516" s="365" t="str">
        <f>D511</f>
        <v>DA211005</v>
      </c>
      <c r="B516" s="382" t="s">
        <v>1462</v>
      </c>
      <c r="C516" s="382"/>
      <c r="D516" s="382"/>
      <c r="E516" s="394" t="s">
        <v>1199</v>
      </c>
      <c r="F516" s="383"/>
      <c r="G516" s="383">
        <f>+'MLBSS_Receita e Despesa'!K404</f>
        <v>1300862</v>
      </c>
      <c r="H516" s="383"/>
    </row>
    <row r="517" spans="1:8" ht="12" customHeight="1">
      <c r="A517" s="365" t="str">
        <f>D511</f>
        <v>DA211005</v>
      </c>
      <c r="B517" s="382" t="s">
        <v>719</v>
      </c>
      <c r="C517" s="382"/>
      <c r="D517" s="382"/>
      <c r="E517" s="394" t="s">
        <v>718</v>
      </c>
      <c r="F517" s="383" t="e">
        <v>#REF!</v>
      </c>
      <c r="G517" s="383">
        <f>+'MLBSS_Receita e Despesa'!K405</f>
        <v>21472386</v>
      </c>
      <c r="H517" s="383"/>
    </row>
    <row r="518" spans="2:8" ht="12" customHeight="1">
      <c r="B518" s="382"/>
      <c r="C518" s="382"/>
      <c r="D518" s="382"/>
      <c r="E518" s="394"/>
      <c r="F518" s="383"/>
      <c r="G518" s="383"/>
      <c r="H518" s="383"/>
    </row>
    <row r="519" spans="2:8" ht="12" customHeight="1">
      <c r="B519" s="385" t="s">
        <v>1433</v>
      </c>
      <c r="C519" s="389" t="s">
        <v>693</v>
      </c>
      <c r="D519" s="385" t="s">
        <v>693</v>
      </c>
      <c r="E519" s="406" t="s">
        <v>510</v>
      </c>
      <c r="F519" s="387" t="e">
        <f>+F521+F531+F538</f>
        <v>#REF!</v>
      </c>
      <c r="G519" s="387">
        <f>+G521+G531+G538+G539</f>
        <v>1409120351</v>
      </c>
      <c r="H519" s="387"/>
    </row>
    <row r="520" spans="1:8" s="384" customFormat="1" ht="12" customHeight="1">
      <c r="A520" s="365"/>
      <c r="B520" s="406"/>
      <c r="C520" s="385"/>
      <c r="D520" s="385"/>
      <c r="E520" s="412" t="s">
        <v>1338</v>
      </c>
      <c r="F520" s="387"/>
      <c r="G520" s="387"/>
      <c r="H520" s="387"/>
    </row>
    <row r="521" spans="1:9" s="384" customFormat="1" ht="12" customHeight="1">
      <c r="A521" s="365"/>
      <c r="B521" s="412"/>
      <c r="C521" s="385"/>
      <c r="D521" s="385"/>
      <c r="E521" s="458" t="s">
        <v>1166</v>
      </c>
      <c r="F521" s="387" t="e">
        <f>SUM(F522:F530)</f>
        <v>#REF!</v>
      </c>
      <c r="G521" s="387">
        <f>SUM(G522:G529)</f>
        <v>1138208758</v>
      </c>
      <c r="H521" s="387"/>
      <c r="I521" s="418">
        <f>G521+195174+507170</f>
        <v>1138911102</v>
      </c>
    </row>
    <row r="522" spans="2:8" ht="12" customHeight="1">
      <c r="B522" s="392" t="s">
        <v>1464</v>
      </c>
      <c r="C522" s="382"/>
      <c r="D522" s="382"/>
      <c r="E522" s="407" t="s">
        <v>1227</v>
      </c>
      <c r="F522" s="383" t="e">
        <v>#REF!</v>
      </c>
      <c r="G522" s="548">
        <f>16576524+405000000</f>
        <v>421576524</v>
      </c>
      <c r="H522" s="383"/>
    </row>
    <row r="523" spans="2:8" ht="12" customHeight="1">
      <c r="B523" s="392" t="s">
        <v>1228</v>
      </c>
      <c r="C523" s="382"/>
      <c r="D523" s="382"/>
      <c r="E523" s="407" t="s">
        <v>1229</v>
      </c>
      <c r="F523" s="383" t="e">
        <v>#REF!</v>
      </c>
      <c r="G523" s="548">
        <f>81920386+67500000</f>
        <v>149420386</v>
      </c>
      <c r="H523" s="383"/>
    </row>
    <row r="524" spans="2:8" ht="12" customHeight="1">
      <c r="B524" s="392" t="s">
        <v>1230</v>
      </c>
      <c r="C524" s="382"/>
      <c r="D524" s="382"/>
      <c r="E524" s="407" t="s">
        <v>1035</v>
      </c>
      <c r="F524" s="383" t="e">
        <v>#REF!</v>
      </c>
      <c r="G524" s="548">
        <f>13434720+803100+14843133+270555445+202500000</f>
        <v>502136398</v>
      </c>
      <c r="H524" s="383"/>
    </row>
    <row r="525" spans="2:9" ht="12" customHeight="1">
      <c r="B525" s="392" t="s">
        <v>1036</v>
      </c>
      <c r="C525" s="382"/>
      <c r="D525" s="382"/>
      <c r="E525" s="407" t="s">
        <v>1298</v>
      </c>
      <c r="F525" s="383" t="e">
        <v>#REF!</v>
      </c>
      <c r="G525" s="548">
        <f>5808650+20500000</f>
        <v>26308650</v>
      </c>
      <c r="H525" s="383"/>
      <c r="I525" s="365">
        <f>1138911102-195174-507170</f>
        <v>1138208758</v>
      </c>
    </row>
    <row r="526" spans="2:8" ht="12" customHeight="1">
      <c r="B526" s="459" t="s">
        <v>1299</v>
      </c>
      <c r="C526" s="382"/>
      <c r="D526" s="382"/>
      <c r="E526" s="407" t="s">
        <v>1232</v>
      </c>
      <c r="F526" s="383" t="e">
        <v>#REF!</v>
      </c>
      <c r="G526" s="548">
        <f>5516050+15400000</f>
        <v>20916050</v>
      </c>
      <c r="H526" s="383"/>
    </row>
    <row r="527" spans="2:8" ht="12" customHeight="1">
      <c r="B527" s="550" t="s">
        <v>991</v>
      </c>
      <c r="C527" s="382"/>
      <c r="D527" s="382"/>
      <c r="E527" s="407"/>
      <c r="F527" s="383"/>
      <c r="G527" s="548"/>
      <c r="H527" s="383"/>
    </row>
    <row r="528" spans="2:8" ht="12" customHeight="1">
      <c r="B528" s="550" t="s">
        <v>1457</v>
      </c>
      <c r="C528" s="382"/>
      <c r="D528" s="382"/>
      <c r="E528" s="407"/>
      <c r="F528" s="383"/>
      <c r="G528" s="548"/>
      <c r="H528" s="383"/>
    </row>
    <row r="529" spans="2:8" ht="12" customHeight="1">
      <c r="B529" s="461" t="s">
        <v>1175</v>
      </c>
      <c r="C529" s="382"/>
      <c r="D529" s="382"/>
      <c r="E529" s="462" t="s">
        <v>989</v>
      </c>
      <c r="F529" s="383"/>
      <c r="G529" s="548">
        <f>2150750+15700000</f>
        <v>17850750</v>
      </c>
      <c r="H529" s="383"/>
    </row>
    <row r="530" spans="2:8" s="460" customFormat="1" ht="12" customHeight="1">
      <c r="B530" s="461" t="s">
        <v>1233</v>
      </c>
      <c r="C530" s="393"/>
      <c r="D530" s="393"/>
      <c r="E530" s="462" t="s">
        <v>1105</v>
      </c>
      <c r="F530" s="383" t="e">
        <v>#REF!</v>
      </c>
      <c r="G530" s="383"/>
      <c r="H530" s="383"/>
    </row>
    <row r="531" spans="1:9" s="384" customFormat="1" ht="12" customHeight="1">
      <c r="A531" s="365"/>
      <c r="B531" s="390"/>
      <c r="C531" s="385"/>
      <c r="D531" s="385"/>
      <c r="E531" s="458" t="s">
        <v>1106</v>
      </c>
      <c r="F531" s="387" t="e">
        <f>SUM(F532:F536)</f>
        <v>#REF!</v>
      </c>
      <c r="G531" s="387">
        <f>SUM(G532:G537)</f>
        <v>130911593</v>
      </c>
      <c r="H531" s="387"/>
      <c r="I531" s="418">
        <f>G538+G539+G531</f>
        <v>270911593</v>
      </c>
    </row>
    <row r="532" spans="2:9" ht="12" customHeight="1">
      <c r="B532" s="551" t="s">
        <v>1107</v>
      </c>
      <c r="C532" s="382"/>
      <c r="D532" s="382"/>
      <c r="E532" s="407" t="s">
        <v>1108</v>
      </c>
      <c r="F532" s="383" t="e">
        <v>#REF!</v>
      </c>
      <c r="G532" s="548">
        <f>1900000</f>
        <v>1900000</v>
      </c>
      <c r="H532" s="383"/>
      <c r="I532" s="476"/>
    </row>
    <row r="533" spans="2:8" ht="12" customHeight="1">
      <c r="B533" s="551" t="s">
        <v>1502</v>
      </c>
      <c r="C533" s="382"/>
      <c r="D533" s="382"/>
      <c r="E533" s="407" t="s">
        <v>1109</v>
      </c>
      <c r="F533" s="383" t="e">
        <v>#REF!</v>
      </c>
      <c r="G533" s="548">
        <v>31771485</v>
      </c>
      <c r="H533" s="383"/>
    </row>
    <row r="534" spans="2:8" ht="12" customHeight="1">
      <c r="B534" s="392" t="s">
        <v>1176</v>
      </c>
      <c r="C534" s="382"/>
      <c r="D534" s="382"/>
      <c r="E534" s="407" t="s">
        <v>1177</v>
      </c>
      <c r="F534" s="383" t="e">
        <v>#REF!</v>
      </c>
      <c r="G534" s="548">
        <f>1200208+2022015+91771345</f>
        <v>94993568</v>
      </c>
      <c r="H534" s="383"/>
    </row>
    <row r="535" spans="2:8" ht="12" customHeight="1">
      <c r="B535" s="392" t="s">
        <v>1178</v>
      </c>
      <c r="C535" s="382"/>
      <c r="D535" s="382"/>
      <c r="E535" s="407" t="s">
        <v>39</v>
      </c>
      <c r="F535" s="383" t="e">
        <v>#REF!</v>
      </c>
      <c r="G535" s="548">
        <v>1417970</v>
      </c>
      <c r="H535" s="383"/>
    </row>
    <row r="536" spans="2:8" ht="12" customHeight="1">
      <c r="B536" s="392" t="s">
        <v>40</v>
      </c>
      <c r="C536" s="382"/>
      <c r="D536" s="382"/>
      <c r="E536" s="407" t="s">
        <v>519</v>
      </c>
      <c r="F536" s="383" t="e">
        <v>#REF!</v>
      </c>
      <c r="G536" s="548">
        <v>768570</v>
      </c>
      <c r="H536" s="383"/>
    </row>
    <row r="537" spans="2:8" ht="12" customHeight="1">
      <c r="B537" s="461" t="s">
        <v>1175</v>
      </c>
      <c r="C537" s="382"/>
      <c r="D537" s="382"/>
      <c r="E537" s="462" t="s">
        <v>989</v>
      </c>
      <c r="F537" s="383"/>
      <c r="G537" s="548">
        <v>60000</v>
      </c>
      <c r="H537" s="383"/>
    </row>
    <row r="538" spans="2:8" ht="12" customHeight="1">
      <c r="B538" s="390" t="s">
        <v>990</v>
      </c>
      <c r="C538" s="382"/>
      <c r="D538" s="382"/>
      <c r="E538" s="458" t="s">
        <v>1135</v>
      </c>
      <c r="F538" s="383" t="e">
        <v>#REF!</v>
      </c>
      <c r="G538" s="548">
        <f>140000000-200000</f>
        <v>139800000</v>
      </c>
      <c r="H538" s="383"/>
    </row>
    <row r="539" spans="2:8" ht="12" customHeight="1">
      <c r="B539" s="461" t="s">
        <v>1175</v>
      </c>
      <c r="C539" s="382"/>
      <c r="D539" s="382"/>
      <c r="E539" s="462" t="s">
        <v>989</v>
      </c>
      <c r="F539" s="383"/>
      <c r="G539" s="548">
        <v>200000</v>
      </c>
      <c r="H539" s="383"/>
    </row>
    <row r="540" spans="2:8" ht="12" customHeight="1">
      <c r="B540" s="406"/>
      <c r="C540" s="385"/>
      <c r="D540" s="385"/>
      <c r="E540" s="386" t="s">
        <v>638</v>
      </c>
      <c r="F540" s="383"/>
      <c r="G540" s="383"/>
      <c r="H540" s="383"/>
    </row>
    <row r="541" spans="1:8" s="384" customFormat="1" ht="12" customHeight="1">
      <c r="A541" s="365"/>
      <c r="B541" s="385" t="s">
        <v>1433</v>
      </c>
      <c r="C541" s="385" t="s">
        <v>1380</v>
      </c>
      <c r="D541" s="385" t="s">
        <v>1380</v>
      </c>
      <c r="E541" s="412" t="s">
        <v>641</v>
      </c>
      <c r="F541" s="387"/>
      <c r="G541" s="387"/>
      <c r="H541" s="387"/>
    </row>
    <row r="542" spans="2:8" ht="12" customHeight="1">
      <c r="B542" s="382" t="s">
        <v>195</v>
      </c>
      <c r="C542" s="382"/>
      <c r="D542" s="382"/>
      <c r="E542" s="463" t="s">
        <v>1043</v>
      </c>
      <c r="F542" s="383" t="e">
        <v>#REF!</v>
      </c>
      <c r="G542" s="548">
        <f>+'MLBSS_Receita e Despesa'!K426</f>
        <v>0</v>
      </c>
      <c r="H542" s="383" t="e">
        <f>+G542-F542</f>
        <v>#REF!</v>
      </c>
    </row>
    <row r="543" spans="2:8" ht="12" customHeight="1">
      <c r="B543" s="391"/>
      <c r="C543" s="382"/>
      <c r="D543" s="382"/>
      <c r="E543" s="395"/>
      <c r="F543" s="383"/>
      <c r="G543" s="383"/>
      <c r="H543" s="383"/>
    </row>
    <row r="544" spans="2:8" ht="12" customHeight="1">
      <c r="B544" s="391"/>
      <c r="C544" s="382"/>
      <c r="D544" s="382"/>
      <c r="E544" s="381" t="s">
        <v>611</v>
      </c>
      <c r="F544" s="383"/>
      <c r="G544" s="383"/>
      <c r="H544" s="383"/>
    </row>
    <row r="545" spans="2:8" ht="12" customHeight="1">
      <c r="B545" s="391"/>
      <c r="C545" s="382"/>
      <c r="D545" s="382"/>
      <c r="E545" s="386" t="s">
        <v>1042</v>
      </c>
      <c r="F545" s="383"/>
      <c r="G545" s="383"/>
      <c r="H545" s="383"/>
    </row>
    <row r="546" spans="2:8" ht="12" customHeight="1">
      <c r="B546" s="385" t="s">
        <v>1433</v>
      </c>
      <c r="C546" s="385"/>
      <c r="D546" s="385"/>
      <c r="E546" s="406" t="s">
        <v>886</v>
      </c>
      <c r="F546" s="387" t="e">
        <f>SUM(F547:F555)</f>
        <v>#REF!</v>
      </c>
      <c r="G546" s="387">
        <f>SUM(G547:G555)</f>
        <v>21577500</v>
      </c>
      <c r="H546" s="387"/>
    </row>
    <row r="547" spans="2:8" ht="12" customHeight="1">
      <c r="B547" s="382" t="s">
        <v>887</v>
      </c>
      <c r="C547" s="385"/>
      <c r="D547" s="385"/>
      <c r="E547" s="394" t="s">
        <v>888</v>
      </c>
      <c r="F547" s="383" t="e">
        <v>#REF!</v>
      </c>
      <c r="G547" s="383"/>
      <c r="H547" s="383"/>
    </row>
    <row r="548" spans="2:8" ht="12" customHeight="1">
      <c r="B548" s="382" t="s">
        <v>953</v>
      </c>
      <c r="C548" s="382"/>
      <c r="D548" s="382"/>
      <c r="E548" s="394" t="s">
        <v>954</v>
      </c>
      <c r="F548" s="383" t="e">
        <v>#REF!</v>
      </c>
      <c r="G548" s="548">
        <f>500000</f>
        <v>500000</v>
      </c>
      <c r="H548" s="383"/>
    </row>
    <row r="549" spans="2:8" ht="12" customHeight="1">
      <c r="B549" s="382" t="s">
        <v>4</v>
      </c>
      <c r="C549" s="382"/>
      <c r="D549" s="382"/>
      <c r="E549" s="394" t="s">
        <v>1269</v>
      </c>
      <c r="F549" s="383" t="e">
        <v>#REF!</v>
      </c>
      <c r="G549" s="548">
        <f>7246750</f>
        <v>7246750</v>
      </c>
      <c r="H549" s="383"/>
    </row>
    <row r="550" spans="2:8" ht="12" customHeight="1">
      <c r="B550" s="382" t="s">
        <v>270</v>
      </c>
      <c r="C550" s="382"/>
      <c r="D550" s="382"/>
      <c r="E550" s="394" t="s">
        <v>889</v>
      </c>
      <c r="F550" s="383" t="e">
        <v>#REF!</v>
      </c>
      <c r="G550" s="548">
        <f>13830750</f>
        <v>13830750</v>
      </c>
      <c r="H550" s="383"/>
    </row>
    <row r="551" spans="2:8" ht="12" customHeight="1">
      <c r="B551" s="382" t="s">
        <v>1150</v>
      </c>
      <c r="C551" s="382"/>
      <c r="D551" s="382"/>
      <c r="E551" s="394" t="s">
        <v>890</v>
      </c>
      <c r="F551" s="383" t="e">
        <v>#REF!</v>
      </c>
      <c r="G551" s="383"/>
      <c r="H551" s="383"/>
    </row>
    <row r="552" spans="2:8" ht="12" customHeight="1">
      <c r="B552" s="382" t="s">
        <v>1010</v>
      </c>
      <c r="C552" s="382"/>
      <c r="D552" s="382"/>
      <c r="E552" s="394" t="s">
        <v>891</v>
      </c>
      <c r="F552" s="383" t="e">
        <v>#REF!</v>
      </c>
      <c r="G552" s="383"/>
      <c r="H552" s="383"/>
    </row>
    <row r="553" spans="2:8" ht="12" customHeight="1">
      <c r="B553" s="382" t="s">
        <v>1012</v>
      </c>
      <c r="C553" s="382"/>
      <c r="D553" s="382"/>
      <c r="E553" s="394" t="s">
        <v>1138</v>
      </c>
      <c r="F553" s="383" t="e">
        <v>#REF!</v>
      </c>
      <c r="G553" s="383"/>
      <c r="H553" s="383"/>
    </row>
    <row r="554" spans="2:8" ht="12" customHeight="1">
      <c r="B554" s="382" t="s">
        <v>522</v>
      </c>
      <c r="C554" s="382"/>
      <c r="D554" s="382"/>
      <c r="E554" s="394" t="s">
        <v>523</v>
      </c>
      <c r="F554" s="383" t="e">
        <v>#REF!</v>
      </c>
      <c r="G554" s="383"/>
      <c r="H554" s="383"/>
    </row>
    <row r="555" spans="2:8" ht="12" customHeight="1">
      <c r="B555" s="382" t="s">
        <v>1152</v>
      </c>
      <c r="C555" s="382"/>
      <c r="D555" s="382"/>
      <c r="E555" s="394" t="s">
        <v>1139</v>
      </c>
      <c r="F555" s="383" t="e">
        <v>#REF!</v>
      </c>
      <c r="G555" s="383"/>
      <c r="H555" s="383"/>
    </row>
    <row r="556" spans="2:8" ht="12" customHeight="1">
      <c r="B556" s="385"/>
      <c r="C556" s="385"/>
      <c r="D556" s="385"/>
      <c r="E556" s="394"/>
      <c r="F556" s="383"/>
      <c r="G556" s="383"/>
      <c r="H556" s="383"/>
    </row>
    <row r="557" spans="1:8" s="384" customFormat="1" ht="12" customHeight="1">
      <c r="A557" s="365"/>
      <c r="B557" s="385" t="s">
        <v>1433</v>
      </c>
      <c r="C557" s="385" t="s">
        <v>643</v>
      </c>
      <c r="D557" s="385" t="s">
        <v>1140</v>
      </c>
      <c r="E557" s="381" t="s">
        <v>9</v>
      </c>
      <c r="F557" s="387" t="e">
        <f>SUM(F558:F559)</f>
        <v>#REF!</v>
      </c>
      <c r="G557" s="387">
        <f>+'MLBSS_Receita e Despesa'!K434</f>
        <v>15718180</v>
      </c>
      <c r="H557" s="387"/>
    </row>
    <row r="558" spans="2:8" ht="12" customHeight="1">
      <c r="B558" s="382" t="s">
        <v>118</v>
      </c>
      <c r="C558" s="385"/>
      <c r="D558" s="385"/>
      <c r="E558" s="391" t="s">
        <v>565</v>
      </c>
      <c r="F558" s="383" t="e">
        <v>#REF!</v>
      </c>
      <c r="G558" s="383">
        <v>9500000</v>
      </c>
      <c r="H558" s="383"/>
    </row>
    <row r="559" spans="2:8" ht="12" customHeight="1">
      <c r="B559" s="382" t="s">
        <v>119</v>
      </c>
      <c r="C559" s="385"/>
      <c r="D559" s="385"/>
      <c r="E559" s="391" t="s">
        <v>1551</v>
      </c>
      <c r="F559" s="383" t="e">
        <v>#REF!</v>
      </c>
      <c r="G559" s="383"/>
      <c r="H559" s="383"/>
    </row>
    <row r="560" spans="2:8" ht="12" customHeight="1">
      <c r="B560" s="395"/>
      <c r="C560" s="385" t="s">
        <v>643</v>
      </c>
      <c r="D560" s="385" t="s">
        <v>1140</v>
      </c>
      <c r="E560" s="381" t="s">
        <v>10</v>
      </c>
      <c r="F560" s="387" t="e">
        <f>SUM(F561:F562)</f>
        <v>#REF!</v>
      </c>
      <c r="G560" s="387">
        <f>+'MLBSS_Receita e Despesa'!K435</f>
        <v>518000</v>
      </c>
      <c r="H560" s="387"/>
    </row>
    <row r="561" spans="2:8" ht="12" customHeight="1">
      <c r="B561" s="395" t="s">
        <v>11</v>
      </c>
      <c r="C561" s="382"/>
      <c r="D561" s="382"/>
      <c r="E561" s="391" t="s">
        <v>199</v>
      </c>
      <c r="F561" s="383" t="e">
        <v>#REF!</v>
      </c>
      <c r="G561" s="383">
        <v>500000</v>
      </c>
      <c r="H561" s="383"/>
    </row>
    <row r="562" spans="2:8" ht="12" customHeight="1">
      <c r="B562" s="395" t="s">
        <v>200</v>
      </c>
      <c r="C562" s="382"/>
      <c r="D562" s="382"/>
      <c r="E562" s="391" t="s">
        <v>1321</v>
      </c>
      <c r="F562" s="383" t="e">
        <v>#REF!</v>
      </c>
      <c r="G562" s="383">
        <v>18000</v>
      </c>
      <c r="H562" s="383"/>
    </row>
    <row r="563" spans="2:8" ht="12" customHeight="1">
      <c r="B563" s="395"/>
      <c r="C563" s="382"/>
      <c r="D563" s="382"/>
      <c r="E563" s="391"/>
      <c r="F563" s="383"/>
      <c r="G563" s="383"/>
      <c r="H563" s="383"/>
    </row>
    <row r="564" spans="2:8" ht="12" customHeight="1">
      <c r="B564" s="385" t="s">
        <v>1433</v>
      </c>
      <c r="C564" s="389" t="s">
        <v>273</v>
      </c>
      <c r="D564" s="385" t="s">
        <v>1008</v>
      </c>
      <c r="E564" s="406" t="s">
        <v>797</v>
      </c>
      <c r="F564" s="383"/>
      <c r="G564" s="383"/>
      <c r="H564" s="383"/>
    </row>
    <row r="565" spans="1:8" ht="12" customHeight="1">
      <c r="A565" s="365" t="str">
        <f>D564</f>
        <v>DA221002</v>
      </c>
      <c r="B565" s="395" t="s">
        <v>1483</v>
      </c>
      <c r="C565" s="382"/>
      <c r="D565" s="382"/>
      <c r="E565" s="394" t="s">
        <v>633</v>
      </c>
      <c r="F565" s="383" t="e">
        <v>#REF!</v>
      </c>
      <c r="G565" s="383">
        <f>+'MLBSS_Receita e Despesa'!K437</f>
        <v>0</v>
      </c>
      <c r="H565" s="383"/>
    </row>
    <row r="566" spans="2:8" ht="12" customHeight="1">
      <c r="B566" s="385"/>
      <c r="C566" s="385"/>
      <c r="D566" s="385"/>
      <c r="E566" s="394"/>
      <c r="F566" s="383"/>
      <c r="G566" s="383"/>
      <c r="H566" s="383"/>
    </row>
    <row r="567" spans="2:8" ht="12" customHeight="1">
      <c r="B567" s="385" t="s">
        <v>1433</v>
      </c>
      <c r="C567" s="385" t="s">
        <v>1380</v>
      </c>
      <c r="D567" s="385" t="s">
        <v>1380</v>
      </c>
      <c r="E567" s="381" t="s">
        <v>441</v>
      </c>
      <c r="F567" s="383"/>
      <c r="G567" s="383"/>
      <c r="H567" s="383"/>
    </row>
    <row r="568" spans="2:8" ht="12" customHeight="1">
      <c r="B568" s="391"/>
      <c r="C568" s="382"/>
      <c r="D568" s="382"/>
      <c r="E568" s="406" t="s">
        <v>1310</v>
      </c>
      <c r="F568" s="387" t="e">
        <f>SUM(F569:F571)</f>
        <v>#REF!</v>
      </c>
      <c r="G568" s="387">
        <f>SUM(G569:G571)</f>
        <v>700000</v>
      </c>
      <c r="H568" s="387"/>
    </row>
    <row r="569" spans="2:8" ht="12" customHeight="1">
      <c r="B569" s="395" t="s">
        <v>442</v>
      </c>
      <c r="C569" s="382"/>
      <c r="D569" s="382"/>
      <c r="E569" s="391" t="s">
        <v>443</v>
      </c>
      <c r="F569" s="383" t="e">
        <v>#REF!</v>
      </c>
      <c r="G569" s="548">
        <f>200000+300000</f>
        <v>500000</v>
      </c>
      <c r="H569" s="383"/>
    </row>
    <row r="570" spans="2:8" ht="12" customHeight="1">
      <c r="B570" s="395" t="s">
        <v>469</v>
      </c>
      <c r="C570" s="382"/>
      <c r="D570" s="382"/>
      <c r="E570" s="391" t="s">
        <v>444</v>
      </c>
      <c r="F570" s="383" t="e">
        <v>#REF!</v>
      </c>
      <c r="G570" s="383"/>
      <c r="H570" s="383"/>
    </row>
    <row r="571" spans="2:8" ht="12" customHeight="1">
      <c r="B571" s="395" t="s">
        <v>1046</v>
      </c>
      <c r="C571" s="382"/>
      <c r="D571" s="382"/>
      <c r="E571" s="391" t="s">
        <v>346</v>
      </c>
      <c r="F571" s="383" t="e">
        <v>#REF!</v>
      </c>
      <c r="G571" s="548">
        <f>100000+100000</f>
        <v>200000</v>
      </c>
      <c r="H571" s="383"/>
    </row>
    <row r="572" spans="2:8" ht="12" customHeight="1">
      <c r="B572" s="396"/>
      <c r="C572" s="464"/>
      <c r="D572" s="464"/>
      <c r="E572" s="398"/>
      <c r="F572" s="399"/>
      <c r="G572" s="399"/>
      <c r="H572" s="399"/>
    </row>
    <row r="573" spans="1:201" s="384" customFormat="1" ht="12" customHeight="1">
      <c r="A573" s="415"/>
      <c r="B573" s="401"/>
      <c r="C573" s="400"/>
      <c r="D573" s="400"/>
      <c r="E573" s="402" t="s">
        <v>920</v>
      </c>
      <c r="F573" s="402" t="e">
        <f>+F457+F495+F497+F503+F511+F519+F542+F546+F557+F560+F565+F568</f>
        <v>#REF!</v>
      </c>
      <c r="G573" s="402">
        <f>+G457+G495+G497+G503+G511+G519+G542+G546+G557+G560+G565+G568</f>
        <v>15756886649</v>
      </c>
      <c r="H573" s="402"/>
      <c r="K573" s="417"/>
      <c r="M573" s="417"/>
      <c r="N573" s="417"/>
      <c r="O573" s="418"/>
      <c r="P573" s="418"/>
      <c r="Q573" s="418"/>
      <c r="R573" s="418"/>
      <c r="S573" s="418"/>
      <c r="T573" s="416"/>
      <c r="U573" s="416"/>
      <c r="X573" s="417"/>
      <c r="Z573" s="417"/>
      <c r="AA573" s="417"/>
      <c r="AB573" s="418"/>
      <c r="AC573" s="418"/>
      <c r="AD573" s="418"/>
      <c r="AE573" s="418"/>
      <c r="AF573" s="418"/>
      <c r="AG573" s="416"/>
      <c r="AH573" s="416"/>
      <c r="AK573" s="417"/>
      <c r="AM573" s="417"/>
      <c r="AN573" s="417"/>
      <c r="AO573" s="418"/>
      <c r="AP573" s="418"/>
      <c r="AQ573" s="418"/>
      <c r="AR573" s="418"/>
      <c r="AS573" s="418"/>
      <c r="AT573" s="416"/>
      <c r="AU573" s="416"/>
      <c r="AX573" s="417"/>
      <c r="AZ573" s="417"/>
      <c r="BA573" s="417"/>
      <c r="BB573" s="418"/>
      <c r="BC573" s="418"/>
      <c r="BD573" s="418"/>
      <c r="BE573" s="418"/>
      <c r="BF573" s="418"/>
      <c r="BG573" s="416"/>
      <c r="BH573" s="416"/>
      <c r="BK573" s="417"/>
      <c r="BM573" s="417"/>
      <c r="BN573" s="417"/>
      <c r="BO573" s="418"/>
      <c r="BP573" s="418"/>
      <c r="BQ573" s="418"/>
      <c r="BR573" s="418"/>
      <c r="BS573" s="418"/>
      <c r="BT573" s="416"/>
      <c r="BU573" s="416"/>
      <c r="BX573" s="417"/>
      <c r="BZ573" s="417"/>
      <c r="CA573" s="417"/>
      <c r="CB573" s="418"/>
      <c r="CC573" s="418"/>
      <c r="CD573" s="418"/>
      <c r="CE573" s="418"/>
      <c r="CF573" s="418"/>
      <c r="CG573" s="416"/>
      <c r="CH573" s="416"/>
      <c r="CK573" s="417"/>
      <c r="CM573" s="417"/>
      <c r="CN573" s="417"/>
      <c r="CO573" s="418"/>
      <c r="CP573" s="418"/>
      <c r="CQ573" s="418"/>
      <c r="CR573" s="418"/>
      <c r="CS573" s="418"/>
      <c r="CT573" s="416"/>
      <c r="CU573" s="416"/>
      <c r="CX573" s="417"/>
      <c r="CZ573" s="417"/>
      <c r="DA573" s="417"/>
      <c r="DB573" s="418"/>
      <c r="DC573" s="418"/>
      <c r="DD573" s="418"/>
      <c r="DE573" s="418"/>
      <c r="DF573" s="418"/>
      <c r="DG573" s="416"/>
      <c r="DH573" s="416"/>
      <c r="DK573" s="417"/>
      <c r="DM573" s="417"/>
      <c r="DN573" s="417"/>
      <c r="DO573" s="418"/>
      <c r="DP573" s="418"/>
      <c r="DQ573" s="418"/>
      <c r="DR573" s="418"/>
      <c r="DS573" s="418"/>
      <c r="DT573" s="416"/>
      <c r="DU573" s="416"/>
      <c r="DX573" s="417"/>
      <c r="DZ573" s="417"/>
      <c r="EA573" s="417"/>
      <c r="EB573" s="418"/>
      <c r="EC573" s="418"/>
      <c r="ED573" s="418"/>
      <c r="EE573" s="418"/>
      <c r="EF573" s="418"/>
      <c r="EG573" s="416"/>
      <c r="EH573" s="416"/>
      <c r="EK573" s="417"/>
      <c r="EM573" s="417"/>
      <c r="EN573" s="417"/>
      <c r="EO573" s="418"/>
      <c r="EP573" s="418"/>
      <c r="EQ573" s="418"/>
      <c r="ER573" s="418"/>
      <c r="ES573" s="418"/>
      <c r="ET573" s="416"/>
      <c r="EU573" s="416"/>
      <c r="EX573" s="417"/>
      <c r="EZ573" s="417"/>
      <c r="FA573" s="417"/>
      <c r="FB573" s="418"/>
      <c r="FC573" s="418"/>
      <c r="FD573" s="418"/>
      <c r="FE573" s="418"/>
      <c r="FF573" s="418"/>
      <c r="FG573" s="416"/>
      <c r="FH573" s="416"/>
      <c r="FK573" s="417"/>
      <c r="FM573" s="417"/>
      <c r="FN573" s="417"/>
      <c r="FO573" s="418"/>
      <c r="FP573" s="418"/>
      <c r="FQ573" s="418"/>
      <c r="FR573" s="418"/>
      <c r="FS573" s="418"/>
      <c r="FT573" s="416"/>
      <c r="FU573" s="416"/>
      <c r="FX573" s="417"/>
      <c r="FZ573" s="417"/>
      <c r="GA573" s="417"/>
      <c r="GB573" s="418"/>
      <c r="GC573" s="418"/>
      <c r="GD573" s="418"/>
      <c r="GE573" s="418"/>
      <c r="GF573" s="418"/>
      <c r="GG573" s="416"/>
      <c r="GH573" s="416"/>
      <c r="GK573" s="417"/>
      <c r="GM573" s="417"/>
      <c r="GN573" s="417"/>
      <c r="GO573" s="418"/>
      <c r="GP573" s="418"/>
      <c r="GQ573" s="418"/>
      <c r="GR573" s="418"/>
      <c r="GS573" s="418"/>
    </row>
    <row r="574" spans="2:8" ht="12" customHeight="1">
      <c r="B574" s="465"/>
      <c r="C574" s="466"/>
      <c r="D574" s="466"/>
      <c r="E574" s="465"/>
      <c r="F574" s="403" t="e">
        <v>#REF!</v>
      </c>
      <c r="G574" s="403" t="e">
        <f>+'MLBSS_Receita e Despesa'!#REF!-Despesa!G573</f>
        <v>#REF!</v>
      </c>
      <c r="H574" s="403">
        <f>+'MLBSS_Receita e Despesa'!K415</f>
        <v>257859911</v>
      </c>
    </row>
    <row r="575" spans="1:8" s="384" customFormat="1" ht="12" customHeight="1">
      <c r="A575" s="365"/>
      <c r="B575" s="467" t="s">
        <v>1433</v>
      </c>
      <c r="C575" s="467" t="s">
        <v>347</v>
      </c>
      <c r="D575" s="467" t="s">
        <v>348</v>
      </c>
      <c r="E575" s="468" t="s">
        <v>949</v>
      </c>
      <c r="F575" s="469" t="e">
        <f>SUM(F576:F583)</f>
        <v>#REF!</v>
      </c>
      <c r="G575" s="469">
        <f>+'MLBSS_Receita e Despesa'!K415+'MLBSS_Receita e Despesa'!K269+'MLBSS_Receita e Despesa'!K267+'MLBSS_Receita e Despesa'!K266+'MLBSS_Receita e Despesa'!K265+'MLBSS_Receita e Despesa'!K264+'MLBSS_Receita e Despesa'!K208+'MLBSS_Receita e Despesa'!K104+'MLBSS_Receita e Despesa'!K103</f>
        <v>386552968</v>
      </c>
      <c r="H575" s="469"/>
    </row>
    <row r="576" spans="2:8" ht="12" customHeight="1">
      <c r="B576" s="382" t="s">
        <v>1466</v>
      </c>
      <c r="C576" s="382"/>
      <c r="D576" s="382"/>
      <c r="E576" s="388" t="s">
        <v>765</v>
      </c>
      <c r="F576" s="383" t="e">
        <v>#REF!</v>
      </c>
      <c r="G576" s="383"/>
      <c r="H576" s="383"/>
    </row>
    <row r="577" spans="2:8" ht="12" customHeight="1">
      <c r="B577" s="382" t="s">
        <v>1467</v>
      </c>
      <c r="C577" s="382"/>
      <c r="D577" s="382"/>
      <c r="E577" s="388" t="s">
        <v>785</v>
      </c>
      <c r="F577" s="383" t="e">
        <v>#REF!</v>
      </c>
      <c r="G577" s="383"/>
      <c r="H577" s="383"/>
    </row>
    <row r="578" spans="2:8" ht="12" customHeight="1">
      <c r="B578" s="382" t="s">
        <v>1468</v>
      </c>
      <c r="C578" s="382"/>
      <c r="D578" s="382"/>
      <c r="E578" s="388" t="s">
        <v>813</v>
      </c>
      <c r="F578" s="383" t="e">
        <v>#REF!</v>
      </c>
      <c r="G578" s="383"/>
      <c r="H578" s="383"/>
    </row>
    <row r="579" spans="2:8" ht="12" customHeight="1">
      <c r="B579" s="382" t="s">
        <v>871</v>
      </c>
      <c r="C579" s="382"/>
      <c r="D579" s="382"/>
      <c r="E579" s="388" t="s">
        <v>674</v>
      </c>
      <c r="F579" s="383" t="e">
        <v>#REF!</v>
      </c>
      <c r="G579" s="383"/>
      <c r="H579" s="383"/>
    </row>
    <row r="580" spans="2:8" ht="12" customHeight="1">
      <c r="B580" s="382" t="s">
        <v>872</v>
      </c>
      <c r="C580" s="382"/>
      <c r="D580" s="382"/>
      <c r="E580" s="391" t="s">
        <v>349</v>
      </c>
      <c r="F580" s="383" t="e">
        <v>#REF!</v>
      </c>
      <c r="G580" s="383"/>
      <c r="H580" s="383"/>
    </row>
    <row r="581" spans="2:8" ht="12" customHeight="1">
      <c r="B581" s="382" t="s">
        <v>856</v>
      </c>
      <c r="C581" s="382"/>
      <c r="D581" s="382"/>
      <c r="E581" s="388" t="s">
        <v>1427</v>
      </c>
      <c r="F581" s="383" t="e">
        <v>#REF!</v>
      </c>
      <c r="G581" s="383"/>
      <c r="H581" s="383"/>
    </row>
    <row r="582" spans="2:8" ht="12" customHeight="1">
      <c r="B582" s="382" t="s">
        <v>118</v>
      </c>
      <c r="C582" s="382"/>
      <c r="D582" s="382"/>
      <c r="E582" s="388" t="s">
        <v>565</v>
      </c>
      <c r="F582" s="383" t="e">
        <v>#REF!</v>
      </c>
      <c r="G582" s="383"/>
      <c r="H582" s="383"/>
    </row>
    <row r="583" spans="2:8" ht="12" customHeight="1">
      <c r="B583" s="382" t="s">
        <v>278</v>
      </c>
      <c r="C583" s="382"/>
      <c r="D583" s="382"/>
      <c r="E583" s="391" t="s">
        <v>349</v>
      </c>
      <c r="F583" s="383" t="e">
        <v>#REF!</v>
      </c>
      <c r="G583" s="383"/>
      <c r="H583" s="383"/>
    </row>
    <row r="584" spans="2:8" ht="12" customHeight="1">
      <c r="B584" s="397"/>
      <c r="C584" s="397"/>
      <c r="D584" s="397"/>
      <c r="E584" s="397"/>
      <c r="F584" s="399"/>
      <c r="G584" s="399"/>
      <c r="H584" s="399"/>
    </row>
    <row r="585" spans="1:201" s="384" customFormat="1" ht="12" customHeight="1">
      <c r="A585" s="415"/>
      <c r="B585" s="401"/>
      <c r="C585" s="400"/>
      <c r="D585" s="400"/>
      <c r="E585" s="402" t="s">
        <v>920</v>
      </c>
      <c r="F585" s="402" t="e">
        <f>SUM(F575)</f>
        <v>#REF!</v>
      </c>
      <c r="G585" s="402"/>
      <c r="H585" s="402"/>
      <c r="K585" s="417"/>
      <c r="M585" s="417"/>
      <c r="N585" s="417"/>
      <c r="O585" s="418"/>
      <c r="P585" s="418"/>
      <c r="Q585" s="418"/>
      <c r="R585" s="418"/>
      <c r="S585" s="418"/>
      <c r="T585" s="416"/>
      <c r="U585" s="416"/>
      <c r="X585" s="417"/>
      <c r="Z585" s="417"/>
      <c r="AA585" s="417"/>
      <c r="AB585" s="418"/>
      <c r="AC585" s="418"/>
      <c r="AD585" s="418"/>
      <c r="AE585" s="418"/>
      <c r="AF585" s="418"/>
      <c r="AG585" s="416"/>
      <c r="AH585" s="416"/>
      <c r="AK585" s="417"/>
      <c r="AM585" s="417"/>
      <c r="AN585" s="417"/>
      <c r="AO585" s="418"/>
      <c r="AP585" s="418"/>
      <c r="AQ585" s="418"/>
      <c r="AR585" s="418"/>
      <c r="AS585" s="418"/>
      <c r="AT585" s="416"/>
      <c r="AU585" s="416"/>
      <c r="AX585" s="417"/>
      <c r="AZ585" s="417"/>
      <c r="BA585" s="417"/>
      <c r="BB585" s="418"/>
      <c r="BC585" s="418"/>
      <c r="BD585" s="418"/>
      <c r="BE585" s="418"/>
      <c r="BF585" s="418"/>
      <c r="BG585" s="416"/>
      <c r="BH585" s="416"/>
      <c r="BK585" s="417"/>
      <c r="BM585" s="417"/>
      <c r="BN585" s="417"/>
      <c r="BO585" s="418"/>
      <c r="BP585" s="418"/>
      <c r="BQ585" s="418"/>
      <c r="BR585" s="418"/>
      <c r="BS585" s="418"/>
      <c r="BT585" s="416"/>
      <c r="BU585" s="416"/>
      <c r="BX585" s="417"/>
      <c r="BZ585" s="417"/>
      <c r="CA585" s="417"/>
      <c r="CB585" s="418"/>
      <c r="CC585" s="418"/>
      <c r="CD585" s="418"/>
      <c r="CE585" s="418"/>
      <c r="CF585" s="418"/>
      <c r="CG585" s="416"/>
      <c r="CH585" s="416"/>
      <c r="CK585" s="417"/>
      <c r="CM585" s="417"/>
      <c r="CN585" s="417"/>
      <c r="CO585" s="418"/>
      <c r="CP585" s="418"/>
      <c r="CQ585" s="418"/>
      <c r="CR585" s="418"/>
      <c r="CS585" s="418"/>
      <c r="CT585" s="416"/>
      <c r="CU585" s="416"/>
      <c r="CX585" s="417"/>
      <c r="CZ585" s="417"/>
      <c r="DA585" s="417"/>
      <c r="DB585" s="418"/>
      <c r="DC585" s="418"/>
      <c r="DD585" s="418"/>
      <c r="DE585" s="418"/>
      <c r="DF585" s="418"/>
      <c r="DG585" s="416"/>
      <c r="DH585" s="416"/>
      <c r="DK585" s="417"/>
      <c r="DM585" s="417"/>
      <c r="DN585" s="417"/>
      <c r="DO585" s="418"/>
      <c r="DP585" s="418"/>
      <c r="DQ585" s="418"/>
      <c r="DR585" s="418"/>
      <c r="DS585" s="418"/>
      <c r="DT585" s="416"/>
      <c r="DU585" s="416"/>
      <c r="DX585" s="417"/>
      <c r="DZ585" s="417"/>
      <c r="EA585" s="417"/>
      <c r="EB585" s="418"/>
      <c r="EC585" s="418"/>
      <c r="ED585" s="418"/>
      <c r="EE585" s="418"/>
      <c r="EF585" s="418"/>
      <c r="EG585" s="416"/>
      <c r="EH585" s="416"/>
      <c r="EK585" s="417"/>
      <c r="EM585" s="417"/>
      <c r="EN585" s="417"/>
      <c r="EO585" s="418"/>
      <c r="EP585" s="418"/>
      <c r="EQ585" s="418"/>
      <c r="ER585" s="418"/>
      <c r="ES585" s="418"/>
      <c r="ET585" s="416"/>
      <c r="EU585" s="416"/>
      <c r="EX585" s="417"/>
      <c r="EZ585" s="417"/>
      <c r="FA585" s="417"/>
      <c r="FB585" s="418"/>
      <c r="FC585" s="418"/>
      <c r="FD585" s="418"/>
      <c r="FE585" s="418"/>
      <c r="FF585" s="418"/>
      <c r="FG585" s="416"/>
      <c r="FH585" s="416"/>
      <c r="FK585" s="417"/>
      <c r="FM585" s="417"/>
      <c r="FN585" s="417"/>
      <c r="FO585" s="418"/>
      <c r="FP585" s="418"/>
      <c r="FQ585" s="418"/>
      <c r="FR585" s="418"/>
      <c r="FS585" s="418"/>
      <c r="FT585" s="416"/>
      <c r="FU585" s="416"/>
      <c r="FX585" s="417"/>
      <c r="FZ585" s="417"/>
      <c r="GA585" s="417"/>
      <c r="GB585" s="418"/>
      <c r="GC585" s="418"/>
      <c r="GD585" s="418"/>
      <c r="GE585" s="418"/>
      <c r="GF585" s="418"/>
      <c r="GG585" s="416"/>
      <c r="GH585" s="416"/>
      <c r="GK585" s="417"/>
      <c r="GM585" s="417"/>
      <c r="GN585" s="417"/>
      <c r="GO585" s="418"/>
      <c r="GP585" s="418"/>
      <c r="GQ585" s="418"/>
      <c r="GR585" s="418"/>
      <c r="GS585" s="418"/>
    </row>
    <row r="586" spans="2:8" ht="12" customHeight="1">
      <c r="B586" s="470"/>
      <c r="E586" s="471"/>
      <c r="F586" s="472"/>
      <c r="G586" s="472"/>
      <c r="H586" s="472"/>
    </row>
    <row r="587" spans="1:8" s="384" customFormat="1" ht="12" customHeight="1">
      <c r="A587" s="365"/>
      <c r="B587" s="473"/>
      <c r="C587" s="474"/>
      <c r="D587" s="474"/>
      <c r="E587" s="400" t="s">
        <v>577</v>
      </c>
      <c r="F587" s="475" t="e">
        <f>+F585+F573+F447+F184+F109</f>
        <v>#REF!</v>
      </c>
      <c r="G587" s="475"/>
      <c r="H587" s="475"/>
    </row>
    <row r="588" spans="6:8" ht="12">
      <c r="F588" s="403">
        <v>21393821219.001907</v>
      </c>
      <c r="G588" s="403" t="e">
        <f>+G575+G573+G447+G184+G109</f>
        <v>#REF!</v>
      </c>
      <c r="H588" s="403"/>
    </row>
    <row r="589" spans="6:8" ht="12">
      <c r="F589" s="403" t="e">
        <f>+F588-F587</f>
        <v>#REF!</v>
      </c>
      <c r="G589" s="403">
        <f>+'MLBSS_Receita e Despesa'!K510-'MLBSS_Receita e Despesa'!K499</f>
        <v>23317265946.190002</v>
      </c>
      <c r="H589" s="403" t="s">
        <v>1413</v>
      </c>
    </row>
    <row r="590" ht="12">
      <c r="G590" s="476" t="e">
        <f>+G588-G589</f>
        <v>#REF!</v>
      </c>
    </row>
    <row r="592" spans="6:8" ht="12">
      <c r="F592" s="476">
        <v>10945261</v>
      </c>
      <c r="G592" s="476"/>
      <c r="H592" s="476"/>
    </row>
    <row r="594" spans="6:8" ht="12">
      <c r="F594" s="476" t="e">
        <f>+F585+F592</f>
        <v>#REF!</v>
      </c>
      <c r="G594" s="476"/>
      <c r="H594" s="476"/>
    </row>
    <row r="595" spans="6:8" ht="12">
      <c r="F595" s="476">
        <v>427462621</v>
      </c>
      <c r="G595" s="476"/>
      <c r="H595" s="476"/>
    </row>
    <row r="596" spans="6:8" ht="12">
      <c r="F596" s="476" t="e">
        <f>+F594-F595</f>
        <v>#REF!</v>
      </c>
      <c r="G596" s="476"/>
      <c r="H596" s="476"/>
    </row>
  </sheetData>
  <printOptions horizontalCentered="1" verticalCentered="1"/>
  <pageMargins left="0.75" right="0.75" top="0" bottom="0" header="0" footer="0"/>
  <pageSetup horizontalDpi="300" verticalDpi="300" orientation="portrait" paperSize="8" scale="64" r:id="rId3"/>
  <rowBreaks count="4" manualBreakCount="4">
    <brk id="109" max="7" man="1"/>
    <brk id="184" max="7" man="1"/>
    <brk id="313" max="7" man="1"/>
    <brk id="447" max="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98"/>
  <sheetViews>
    <sheetView zoomScale="75" zoomScaleNormal="75" zoomScaleSheetLayoutView="50" workbookViewId="0" topLeftCell="B1">
      <pane xSplit="1" ySplit="8" topLeftCell="C9" activePane="bottomRight" state="frozen"/>
      <selection pane="topLeft" activeCell="C286" sqref="C286"/>
      <selection pane="topRight" activeCell="C286" sqref="C286"/>
      <selection pane="bottomLeft" activeCell="C286" sqref="C286"/>
      <selection pane="bottomRight" activeCell="C286" sqref="C286"/>
    </sheetView>
  </sheetViews>
  <sheetFormatPr defaultColWidth="9.140625" defaultRowHeight="12" customHeight="1"/>
  <cols>
    <col min="1" max="1" width="13.8515625" style="477" hidden="1" customWidth="1"/>
    <col min="2" max="2" width="18.140625" style="478" customWidth="1"/>
    <col min="3" max="3" width="11.00390625" style="479" customWidth="1"/>
    <col min="4" max="4" width="21.7109375" style="479" bestFit="1" customWidth="1"/>
    <col min="5" max="5" width="61.7109375" style="478" customWidth="1"/>
    <col min="6" max="6" width="18.8515625" style="479" bestFit="1" customWidth="1"/>
    <col min="7" max="7" width="22.8515625" style="479" bestFit="1" customWidth="1"/>
    <col min="8" max="8" width="22.00390625" style="479" bestFit="1" customWidth="1"/>
    <col min="9" max="9" width="4.28125" style="479" customWidth="1"/>
    <col min="10" max="10" width="13.140625" style="479" bestFit="1" customWidth="1"/>
    <col min="11" max="11" width="12.140625" style="479" bestFit="1" customWidth="1"/>
    <col min="12" max="16384" width="4.28125" style="479" customWidth="1"/>
  </cols>
  <sheetData>
    <row r="1" spans="2:4" ht="12" customHeight="1">
      <c r="B1" s="366" t="s">
        <v>1278</v>
      </c>
      <c r="C1" s="368" t="s">
        <v>1359</v>
      </c>
      <c r="D1" s="368"/>
    </row>
    <row r="2" spans="2:8" ht="12" customHeight="1">
      <c r="B2" s="369" t="s">
        <v>1137</v>
      </c>
      <c r="C2" s="480"/>
      <c r="D2" s="480"/>
      <c r="E2" s="481"/>
      <c r="F2" s="480"/>
      <c r="G2" s="480"/>
      <c r="H2" s="480"/>
    </row>
    <row r="3" spans="1:8" s="484" customFormat="1" ht="12" customHeight="1">
      <c r="A3" s="482"/>
      <c r="B3" s="483" t="s">
        <v>656</v>
      </c>
      <c r="C3" s="480"/>
      <c r="D3" s="480"/>
      <c r="E3" s="483"/>
      <c r="F3" s="480"/>
      <c r="G3" s="480"/>
      <c r="H3" s="480"/>
    </row>
    <row r="4" spans="1:8" s="484" customFormat="1" ht="12" customHeight="1">
      <c r="A4" s="482"/>
      <c r="B4" s="483" t="s">
        <v>821</v>
      </c>
      <c r="C4" s="483"/>
      <c r="D4" s="483"/>
      <c r="E4" s="483"/>
      <c r="F4" s="480"/>
      <c r="G4" s="480"/>
      <c r="H4" s="480"/>
    </row>
    <row r="5" spans="1:5" s="484" customFormat="1" ht="12" customHeight="1">
      <c r="A5" s="482"/>
      <c r="B5" s="485"/>
      <c r="E5" s="485"/>
    </row>
    <row r="6" spans="2:8" ht="12" customHeight="1">
      <c r="B6" s="373" t="s">
        <v>1360</v>
      </c>
      <c r="C6" s="374"/>
      <c r="D6" s="374"/>
      <c r="E6" s="373"/>
      <c r="F6" s="373" t="s">
        <v>1361</v>
      </c>
      <c r="G6" s="373" t="s">
        <v>1361</v>
      </c>
      <c r="H6" s="373"/>
    </row>
    <row r="7" spans="2:8" ht="12" customHeight="1">
      <c r="B7" s="375" t="s">
        <v>1362</v>
      </c>
      <c r="C7" s="376" t="s">
        <v>1363</v>
      </c>
      <c r="D7" s="376" t="s">
        <v>831</v>
      </c>
      <c r="E7" s="375" t="s">
        <v>1080</v>
      </c>
      <c r="F7" s="375">
        <v>2008</v>
      </c>
      <c r="G7" s="375">
        <v>2008</v>
      </c>
      <c r="H7" s="375" t="s">
        <v>1496</v>
      </c>
    </row>
    <row r="8" spans="2:8" ht="12" customHeight="1">
      <c r="B8" s="377" t="s">
        <v>832</v>
      </c>
      <c r="C8" s="378"/>
      <c r="D8" s="378"/>
      <c r="E8" s="486"/>
      <c r="F8" s="377" t="s">
        <v>1098</v>
      </c>
      <c r="G8" s="377" t="s">
        <v>833</v>
      </c>
      <c r="H8" s="377"/>
    </row>
    <row r="9" spans="2:8" ht="12" customHeight="1">
      <c r="B9" s="487"/>
      <c r="C9" s="488"/>
      <c r="D9" s="488"/>
      <c r="E9" s="487" t="s">
        <v>1224</v>
      </c>
      <c r="F9" s="489">
        <v>0</v>
      </c>
      <c r="G9" s="489"/>
      <c r="H9" s="489"/>
    </row>
    <row r="10" spans="2:8" ht="12" customHeight="1">
      <c r="B10" s="490"/>
      <c r="C10" s="491"/>
      <c r="D10" s="491"/>
      <c r="E10" s="490"/>
      <c r="F10" s="492"/>
      <c r="G10" s="492"/>
      <c r="H10" s="492"/>
    </row>
    <row r="11" spans="2:8" ht="12" customHeight="1">
      <c r="B11" s="382"/>
      <c r="C11" s="493"/>
      <c r="D11" s="493"/>
      <c r="E11" s="381" t="s">
        <v>130</v>
      </c>
      <c r="F11" s="494"/>
      <c r="G11" s="494"/>
      <c r="H11" s="494"/>
    </row>
    <row r="12" spans="2:8" ht="12" customHeight="1">
      <c r="B12" s="382"/>
      <c r="C12" s="493"/>
      <c r="D12" s="493"/>
      <c r="E12" s="382"/>
      <c r="F12" s="495"/>
      <c r="G12" s="495"/>
      <c r="H12" s="495"/>
    </row>
    <row r="13" spans="2:8" ht="12" customHeight="1">
      <c r="B13" s="385" t="s">
        <v>1433</v>
      </c>
      <c r="C13" s="385" t="s">
        <v>129</v>
      </c>
      <c r="D13" s="385" t="s">
        <v>653</v>
      </c>
      <c r="E13" s="385" t="s">
        <v>913</v>
      </c>
      <c r="F13" s="496">
        <f>+F14+F15</f>
        <v>1638623</v>
      </c>
      <c r="G13" s="496">
        <f>+'MLBSS_Receita e Despesa'!C23</f>
        <v>731805</v>
      </c>
      <c r="H13" s="496"/>
    </row>
    <row r="14" spans="1:8" ht="12" customHeight="1">
      <c r="A14" s="477" t="str">
        <f>D13</f>
        <v>RA111002</v>
      </c>
      <c r="B14" s="532" t="s">
        <v>844</v>
      </c>
      <c r="C14" s="493"/>
      <c r="D14" s="493"/>
      <c r="E14" s="391" t="s">
        <v>914</v>
      </c>
      <c r="F14" s="495">
        <v>1556641</v>
      </c>
      <c r="G14" s="495">
        <v>1206663</v>
      </c>
      <c r="H14" s="495"/>
    </row>
    <row r="15" spans="1:8" ht="12" customHeight="1">
      <c r="A15" s="477" t="str">
        <f>D13</f>
        <v>RA111002</v>
      </c>
      <c r="B15" s="382" t="s">
        <v>915</v>
      </c>
      <c r="C15" s="493"/>
      <c r="D15" s="493"/>
      <c r="E15" s="391" t="s">
        <v>916</v>
      </c>
      <c r="F15" s="495">
        <v>81982</v>
      </c>
      <c r="G15" s="495">
        <v>81892</v>
      </c>
      <c r="H15" s="495"/>
    </row>
    <row r="16" spans="2:8" ht="12" customHeight="1">
      <c r="B16" s="382"/>
      <c r="C16" s="493"/>
      <c r="D16" s="493"/>
      <c r="E16" s="391"/>
      <c r="F16" s="495"/>
      <c r="G16" s="495"/>
      <c r="H16" s="495"/>
    </row>
    <row r="17" spans="2:8" ht="12" customHeight="1">
      <c r="B17" s="385" t="s">
        <v>1433</v>
      </c>
      <c r="C17" s="385" t="s">
        <v>917</v>
      </c>
      <c r="D17" s="385" t="s">
        <v>1057</v>
      </c>
      <c r="E17" s="386" t="s">
        <v>739</v>
      </c>
      <c r="F17" s="495"/>
      <c r="G17" s="495"/>
      <c r="H17" s="495"/>
    </row>
    <row r="18" spans="1:8" ht="12" customHeight="1">
      <c r="A18" s="477" t="str">
        <f>D17</f>
        <v>RA111001</v>
      </c>
      <c r="B18" s="532" t="s">
        <v>793</v>
      </c>
      <c r="C18" s="497"/>
      <c r="D18" s="497"/>
      <c r="E18" s="391" t="s">
        <v>739</v>
      </c>
      <c r="F18" s="495">
        <v>0</v>
      </c>
      <c r="G18" s="495">
        <f>+'MLBSS_Receita e Despesa'!C30+'MLBSS_Receita e Despesa'!C29</f>
        <v>4524772326</v>
      </c>
      <c r="H18" s="495"/>
    </row>
    <row r="19" spans="2:8" ht="12" customHeight="1">
      <c r="B19" s="382"/>
      <c r="C19" s="493"/>
      <c r="D19" s="493"/>
      <c r="E19" s="391"/>
      <c r="F19" s="495"/>
      <c r="G19" s="495"/>
      <c r="H19" s="495"/>
    </row>
    <row r="20" spans="2:8" ht="12" customHeight="1">
      <c r="B20" s="385" t="s">
        <v>1433</v>
      </c>
      <c r="C20" s="385" t="s">
        <v>129</v>
      </c>
      <c r="D20" s="385" t="s">
        <v>653</v>
      </c>
      <c r="E20" s="386" t="s">
        <v>141</v>
      </c>
      <c r="F20" s="496">
        <f>+F22+F21</f>
        <v>11282072</v>
      </c>
      <c r="G20" s="496">
        <f>+G21+G22</f>
        <v>21641104</v>
      </c>
      <c r="H20" s="496"/>
    </row>
    <row r="21" spans="1:8" ht="12" customHeight="1">
      <c r="A21" s="477" t="str">
        <f>D20</f>
        <v>RA111002</v>
      </c>
      <c r="B21" s="532" t="s">
        <v>843</v>
      </c>
      <c r="C21" s="493"/>
      <c r="D21" s="493"/>
      <c r="E21" s="382" t="s">
        <v>1037</v>
      </c>
      <c r="F21" s="498">
        <v>11282072</v>
      </c>
      <c r="G21" s="495">
        <v>110000</v>
      </c>
      <c r="H21" s="498"/>
    </row>
    <row r="22" spans="1:8" ht="12" customHeight="1">
      <c r="A22" s="477" t="str">
        <f>D20</f>
        <v>RA111002</v>
      </c>
      <c r="B22" s="532" t="s">
        <v>843</v>
      </c>
      <c r="C22" s="493"/>
      <c r="D22" s="493"/>
      <c r="E22" s="382" t="s">
        <v>1270</v>
      </c>
      <c r="F22" s="495">
        <v>0</v>
      </c>
      <c r="G22" s="495">
        <v>21531104</v>
      </c>
      <c r="H22" s="495"/>
    </row>
    <row r="23" spans="2:8" ht="12" customHeight="1">
      <c r="B23" s="389" t="s">
        <v>1070</v>
      </c>
      <c r="C23" s="493"/>
      <c r="D23" s="385" t="s">
        <v>653</v>
      </c>
      <c r="E23" s="386" t="s">
        <v>240</v>
      </c>
      <c r="F23" s="495"/>
      <c r="G23" s="496">
        <f>'MLBSS_Receita e Despesa'!C27</f>
        <v>2166141</v>
      </c>
      <c r="H23" s="495"/>
    </row>
    <row r="24" spans="2:8" ht="12" customHeight="1">
      <c r="B24" s="385" t="s">
        <v>1433</v>
      </c>
      <c r="C24" s="385" t="s">
        <v>1382</v>
      </c>
      <c r="D24" s="385" t="s">
        <v>653</v>
      </c>
      <c r="E24" s="454" t="s">
        <v>1383</v>
      </c>
      <c r="F24" s="495"/>
      <c r="G24" s="495"/>
      <c r="H24" s="495"/>
    </row>
    <row r="25" spans="1:8" ht="12" customHeight="1">
      <c r="A25" s="477" t="str">
        <f>D24</f>
        <v>RA111002</v>
      </c>
      <c r="B25" s="382" t="s">
        <v>1384</v>
      </c>
      <c r="C25" s="493"/>
      <c r="D25" s="493"/>
      <c r="E25" s="388" t="s">
        <v>542</v>
      </c>
      <c r="F25" s="499">
        <v>20180000</v>
      </c>
      <c r="G25" s="499">
        <f>+'MLBSS_Receita e Despesa'!C36</f>
        <v>13824710</v>
      </c>
      <c r="H25" s="499"/>
    </row>
    <row r="26" spans="2:8" ht="12" customHeight="1">
      <c r="B26" s="382"/>
      <c r="C26" s="493"/>
      <c r="D26" s="493"/>
      <c r="E26" s="382"/>
      <c r="F26" s="495"/>
      <c r="G26" s="495"/>
      <c r="H26" s="495"/>
    </row>
    <row r="27" spans="2:11" ht="12" customHeight="1">
      <c r="B27" s="385" t="s">
        <v>1433</v>
      </c>
      <c r="C27" s="385" t="s">
        <v>543</v>
      </c>
      <c r="D27" s="385" t="s">
        <v>544</v>
      </c>
      <c r="E27" s="386" t="s">
        <v>180</v>
      </c>
      <c r="F27" s="496">
        <f>SUM(F28:F49)</f>
        <v>7789069</v>
      </c>
      <c r="G27" s="496">
        <f>SUM(G28:G49)</f>
        <v>9789069</v>
      </c>
      <c r="H27" s="496"/>
      <c r="K27" s="520"/>
    </row>
    <row r="28" spans="1:8" ht="12" customHeight="1">
      <c r="A28" s="477" t="str">
        <f aca="true" t="shared" si="0" ref="A28:A49">$D$27</f>
        <v>RA111003</v>
      </c>
      <c r="B28" s="382" t="s">
        <v>545</v>
      </c>
      <c r="C28" s="493"/>
      <c r="D28" s="493"/>
      <c r="E28" s="391" t="s">
        <v>546</v>
      </c>
      <c r="F28" s="499">
        <v>10</v>
      </c>
      <c r="G28" s="499">
        <v>10</v>
      </c>
      <c r="H28" s="499"/>
    </row>
    <row r="29" spans="1:8" ht="12" customHeight="1">
      <c r="A29" s="477" t="str">
        <f t="shared" si="0"/>
        <v>RA111003</v>
      </c>
      <c r="B29" s="382" t="s">
        <v>1465</v>
      </c>
      <c r="C29" s="493"/>
      <c r="D29" s="493"/>
      <c r="E29" s="391" t="s">
        <v>197</v>
      </c>
      <c r="F29" s="499">
        <v>10</v>
      </c>
      <c r="G29" s="499">
        <v>10</v>
      </c>
      <c r="H29" s="499"/>
    </row>
    <row r="30" spans="1:8" ht="12" customHeight="1">
      <c r="A30" s="477" t="str">
        <f t="shared" si="0"/>
        <v>RA111003</v>
      </c>
      <c r="B30" s="382" t="s">
        <v>1290</v>
      </c>
      <c r="C30" s="493"/>
      <c r="D30" s="493"/>
      <c r="E30" s="391" t="s">
        <v>52</v>
      </c>
      <c r="F30" s="499">
        <v>10</v>
      </c>
      <c r="G30" s="499">
        <v>10</v>
      </c>
      <c r="H30" s="499"/>
    </row>
    <row r="31" spans="1:8" ht="12" customHeight="1">
      <c r="A31" s="477" t="str">
        <f t="shared" si="0"/>
        <v>RA111003</v>
      </c>
      <c r="B31" s="382" t="s">
        <v>53</v>
      </c>
      <c r="C31" s="493"/>
      <c r="D31" s="493"/>
      <c r="E31" s="391" t="s">
        <v>54</v>
      </c>
      <c r="F31" s="499">
        <v>10</v>
      </c>
      <c r="G31" s="499">
        <v>10</v>
      </c>
      <c r="H31" s="499"/>
    </row>
    <row r="32" spans="1:8" ht="12" customHeight="1">
      <c r="A32" s="477" t="str">
        <f t="shared" si="0"/>
        <v>RA111003</v>
      </c>
      <c r="B32" s="382" t="s">
        <v>55</v>
      </c>
      <c r="C32" s="493"/>
      <c r="D32" s="493"/>
      <c r="E32" s="391" t="s">
        <v>56</v>
      </c>
      <c r="F32" s="499">
        <v>10</v>
      </c>
      <c r="G32" s="499">
        <v>10</v>
      </c>
      <c r="H32" s="499"/>
    </row>
    <row r="33" spans="1:8" ht="12" customHeight="1">
      <c r="A33" s="477" t="str">
        <f t="shared" si="0"/>
        <v>RA111003</v>
      </c>
      <c r="B33" s="382" t="s">
        <v>57</v>
      </c>
      <c r="C33" s="493"/>
      <c r="D33" s="493"/>
      <c r="E33" s="391" t="s">
        <v>58</v>
      </c>
      <c r="F33" s="499">
        <v>60</v>
      </c>
      <c r="G33" s="499">
        <v>60</v>
      </c>
      <c r="H33" s="499"/>
    </row>
    <row r="34" spans="1:8" ht="12" customHeight="1">
      <c r="A34" s="477" t="str">
        <f t="shared" si="0"/>
        <v>RA111003</v>
      </c>
      <c r="B34" s="382" t="s">
        <v>59</v>
      </c>
      <c r="C34" s="493"/>
      <c r="D34" s="493"/>
      <c r="E34" s="391" t="s">
        <v>973</v>
      </c>
      <c r="F34" s="499">
        <v>10</v>
      </c>
      <c r="G34" s="499">
        <v>10</v>
      </c>
      <c r="H34" s="499"/>
    </row>
    <row r="35" spans="1:8" ht="12" customHeight="1">
      <c r="A35" s="477" t="str">
        <f t="shared" si="0"/>
        <v>RA111003</v>
      </c>
      <c r="B35" s="382" t="s">
        <v>1499</v>
      </c>
      <c r="C35" s="493"/>
      <c r="D35" s="493"/>
      <c r="E35" s="391" t="s">
        <v>925</v>
      </c>
      <c r="F35" s="499">
        <v>20917</v>
      </c>
      <c r="G35" s="499">
        <v>20917</v>
      </c>
      <c r="H35" s="499"/>
    </row>
    <row r="36" spans="1:8" ht="12" customHeight="1">
      <c r="A36" s="477" t="str">
        <f t="shared" si="0"/>
        <v>RA111003</v>
      </c>
      <c r="B36" s="382" t="s">
        <v>926</v>
      </c>
      <c r="C36" s="493"/>
      <c r="D36" s="493"/>
      <c r="E36" s="391" t="s">
        <v>927</v>
      </c>
      <c r="F36" s="499">
        <v>110</v>
      </c>
      <c r="G36" s="499">
        <v>110</v>
      </c>
      <c r="H36" s="499"/>
    </row>
    <row r="37" spans="1:8" ht="12" customHeight="1">
      <c r="A37" s="477" t="str">
        <f t="shared" si="0"/>
        <v>RA111003</v>
      </c>
      <c r="B37" s="382" t="s">
        <v>928</v>
      </c>
      <c r="C37" s="493"/>
      <c r="D37" s="493"/>
      <c r="E37" s="388" t="s">
        <v>929</v>
      </c>
      <c r="F37" s="499">
        <v>10</v>
      </c>
      <c r="G37" s="499">
        <v>10</v>
      </c>
      <c r="H37" s="499"/>
    </row>
    <row r="38" spans="1:8" ht="12" customHeight="1">
      <c r="A38" s="477" t="str">
        <f t="shared" si="0"/>
        <v>RA111003</v>
      </c>
      <c r="B38" s="382" t="s">
        <v>930</v>
      </c>
      <c r="C38" s="493"/>
      <c r="D38" s="493"/>
      <c r="E38" s="388" t="s">
        <v>471</v>
      </c>
      <c r="F38" s="499">
        <v>10</v>
      </c>
      <c r="G38" s="499">
        <v>10</v>
      </c>
      <c r="H38" s="499"/>
    </row>
    <row r="39" spans="1:8" ht="12" customHeight="1">
      <c r="A39" s="477" t="str">
        <f t="shared" si="0"/>
        <v>RA111003</v>
      </c>
      <c r="B39" s="382" t="s">
        <v>472</v>
      </c>
      <c r="C39" s="493"/>
      <c r="D39" s="493"/>
      <c r="E39" s="388" t="s">
        <v>540</v>
      </c>
      <c r="F39" s="499">
        <v>10</v>
      </c>
      <c r="G39" s="499">
        <v>10</v>
      </c>
      <c r="H39" s="499"/>
    </row>
    <row r="40" spans="1:8" ht="12" customHeight="1">
      <c r="A40" s="477" t="str">
        <f t="shared" si="0"/>
        <v>RA111003</v>
      </c>
      <c r="B40" s="382" t="s">
        <v>541</v>
      </c>
      <c r="C40" s="493"/>
      <c r="D40" s="493"/>
      <c r="E40" s="388" t="s">
        <v>474</v>
      </c>
      <c r="F40" s="499">
        <v>10</v>
      </c>
      <c r="G40" s="499">
        <v>10</v>
      </c>
      <c r="H40" s="499"/>
    </row>
    <row r="41" spans="1:8" ht="12" customHeight="1">
      <c r="A41" s="477" t="str">
        <f t="shared" si="0"/>
        <v>RA111003</v>
      </c>
      <c r="B41" s="382" t="s">
        <v>1085</v>
      </c>
      <c r="C41" s="493"/>
      <c r="D41" s="493"/>
      <c r="E41" s="388" t="s">
        <v>1086</v>
      </c>
      <c r="F41" s="499">
        <v>10</v>
      </c>
      <c r="G41" s="499">
        <v>10</v>
      </c>
      <c r="H41" s="499"/>
    </row>
    <row r="42" spans="1:8" ht="12" customHeight="1">
      <c r="A42" s="477" t="str">
        <f t="shared" si="0"/>
        <v>RA111003</v>
      </c>
      <c r="B42" s="382" t="s">
        <v>1087</v>
      </c>
      <c r="C42" s="493"/>
      <c r="D42" s="493"/>
      <c r="E42" s="388" t="s">
        <v>1088</v>
      </c>
      <c r="F42" s="499">
        <v>10</v>
      </c>
      <c r="G42" s="499">
        <v>10</v>
      </c>
      <c r="H42" s="499"/>
    </row>
    <row r="43" spans="1:8" ht="12" customHeight="1">
      <c r="A43" s="477" t="str">
        <f t="shared" si="0"/>
        <v>RA111003</v>
      </c>
      <c r="B43" s="382" t="s">
        <v>1089</v>
      </c>
      <c r="C43" s="493"/>
      <c r="D43" s="493"/>
      <c r="E43" s="388" t="s">
        <v>1090</v>
      </c>
      <c r="F43" s="499">
        <v>10</v>
      </c>
      <c r="G43" s="499">
        <v>10</v>
      </c>
      <c r="H43" s="499"/>
    </row>
    <row r="44" spans="1:8" ht="12" customHeight="1">
      <c r="A44" s="477" t="str">
        <f t="shared" si="0"/>
        <v>RA111003</v>
      </c>
      <c r="B44" s="382" t="s">
        <v>1091</v>
      </c>
      <c r="C44" s="493"/>
      <c r="D44" s="493"/>
      <c r="E44" s="388" t="s">
        <v>1092</v>
      </c>
      <c r="F44" s="499">
        <v>10</v>
      </c>
      <c r="G44" s="499">
        <v>10</v>
      </c>
      <c r="H44" s="499"/>
    </row>
    <row r="45" spans="1:8" ht="12" customHeight="1">
      <c r="A45" s="477" t="str">
        <f t="shared" si="0"/>
        <v>RA111003</v>
      </c>
      <c r="B45" s="382" t="s">
        <v>1093</v>
      </c>
      <c r="C45" s="493"/>
      <c r="D45" s="493"/>
      <c r="E45" s="388" t="s">
        <v>607</v>
      </c>
      <c r="F45" s="499">
        <v>10</v>
      </c>
      <c r="G45" s="499">
        <v>10</v>
      </c>
      <c r="H45" s="499"/>
    </row>
    <row r="46" spans="1:8" ht="12" customHeight="1">
      <c r="A46" s="477" t="str">
        <f t="shared" si="0"/>
        <v>RA111003</v>
      </c>
      <c r="B46" s="382" t="s">
        <v>608</v>
      </c>
      <c r="C46" s="493"/>
      <c r="D46" s="493"/>
      <c r="E46" s="388" t="s">
        <v>88</v>
      </c>
      <c r="F46" s="499">
        <v>5010</v>
      </c>
      <c r="G46" s="499">
        <v>5010</v>
      </c>
      <c r="H46" s="499"/>
    </row>
    <row r="47" spans="1:8" ht="12" customHeight="1">
      <c r="A47" s="477" t="str">
        <f t="shared" si="0"/>
        <v>RA111003</v>
      </c>
      <c r="B47" s="382" t="s">
        <v>89</v>
      </c>
      <c r="C47" s="493"/>
      <c r="D47" s="493"/>
      <c r="E47" s="388" t="s">
        <v>325</v>
      </c>
      <c r="F47" s="499">
        <v>10</v>
      </c>
      <c r="G47" s="499">
        <v>10</v>
      </c>
      <c r="H47" s="499"/>
    </row>
    <row r="48" spans="1:8" ht="12" customHeight="1">
      <c r="A48" s="477" t="str">
        <f t="shared" si="0"/>
        <v>RA111003</v>
      </c>
      <c r="B48" s="382" t="s">
        <v>326</v>
      </c>
      <c r="C48" s="493"/>
      <c r="D48" s="493"/>
      <c r="E48" s="388" t="s">
        <v>849</v>
      </c>
      <c r="F48" s="495">
        <v>522283</v>
      </c>
      <c r="G48" s="495">
        <v>522283</v>
      </c>
      <c r="H48" s="495"/>
    </row>
    <row r="49" spans="1:8" ht="12" customHeight="1">
      <c r="A49" s="477" t="str">
        <f t="shared" si="0"/>
        <v>RA111003</v>
      </c>
      <c r="B49" s="382" t="s">
        <v>1412</v>
      </c>
      <c r="C49" s="493"/>
      <c r="D49" s="493"/>
      <c r="E49" s="388" t="s">
        <v>127</v>
      </c>
      <c r="F49" s="495">
        <v>7240529</v>
      </c>
      <c r="G49" s="495">
        <f>7240529+1000000+1000000</f>
        <v>9240529</v>
      </c>
      <c r="H49" s="495"/>
    </row>
    <row r="50" spans="2:8" ht="12" customHeight="1">
      <c r="B50" s="397"/>
      <c r="C50" s="500"/>
      <c r="D50" s="500"/>
      <c r="E50" s="396"/>
      <c r="F50" s="501"/>
      <c r="G50" s="514"/>
      <c r="H50" s="501"/>
    </row>
    <row r="51" spans="2:8" s="477" customFormat="1" ht="12" customHeight="1">
      <c r="B51" s="401"/>
      <c r="C51" s="502"/>
      <c r="D51" s="502"/>
      <c r="E51" s="400" t="s">
        <v>920</v>
      </c>
      <c r="F51" s="503">
        <f>+F27+F25+F20+F18+F13</f>
        <v>40889764</v>
      </c>
      <c r="G51" s="503">
        <f>+G27+G25+G20+G18+G13+G23</f>
        <v>4572925155</v>
      </c>
      <c r="H51" s="503">
        <f>+'MLBSS_Receita e Despesa'!C17</f>
        <v>4595743853</v>
      </c>
    </row>
    <row r="52" spans="1:8" s="484" customFormat="1" ht="12" customHeight="1">
      <c r="A52" s="482"/>
      <c r="B52" s="369" t="s">
        <v>656</v>
      </c>
      <c r="C52" s="504"/>
      <c r="D52" s="504"/>
      <c r="E52" s="483"/>
      <c r="F52" s="505"/>
      <c r="G52" s="535">
        <f>+'MLBSS_Receita e Despesa'!C17</f>
        <v>4595743853</v>
      </c>
      <c r="H52" s="505"/>
    </row>
    <row r="53" spans="1:8" s="484" customFormat="1" ht="12" customHeight="1">
      <c r="A53" s="482"/>
      <c r="B53" s="369" t="s">
        <v>293</v>
      </c>
      <c r="C53" s="369"/>
      <c r="D53" s="369"/>
      <c r="E53" s="369"/>
      <c r="F53" s="505"/>
      <c r="G53" s="505"/>
      <c r="H53" s="505"/>
    </row>
    <row r="54" spans="1:8" s="484" customFormat="1" ht="12" customHeight="1">
      <c r="A54" s="482"/>
      <c r="B54" s="369" t="s">
        <v>952</v>
      </c>
      <c r="C54" s="369"/>
      <c r="D54" s="369"/>
      <c r="E54" s="369"/>
      <c r="F54" s="505"/>
      <c r="G54" s="505"/>
      <c r="H54" s="505"/>
    </row>
    <row r="55" spans="2:8" ht="12" customHeight="1">
      <c r="B55" s="506"/>
      <c r="C55" s="507"/>
      <c r="D55" s="507"/>
      <c r="E55" s="506"/>
      <c r="F55" s="508"/>
      <c r="G55" s="508"/>
      <c r="H55" s="508"/>
    </row>
    <row r="56" spans="2:8" ht="12" customHeight="1">
      <c r="B56" s="373" t="s">
        <v>1360</v>
      </c>
      <c r="C56" s="374"/>
      <c r="D56" s="374"/>
      <c r="E56" s="373"/>
      <c r="F56" s="373" t="s">
        <v>1361</v>
      </c>
      <c r="G56" s="373" t="s">
        <v>1361</v>
      </c>
      <c r="H56" s="373"/>
    </row>
    <row r="57" spans="2:8" ht="12" customHeight="1">
      <c r="B57" s="375" t="s">
        <v>1362</v>
      </c>
      <c r="C57" s="376" t="s">
        <v>1363</v>
      </c>
      <c r="D57" s="376" t="s">
        <v>831</v>
      </c>
      <c r="E57" s="375" t="s">
        <v>1080</v>
      </c>
      <c r="F57" s="375">
        <v>2008</v>
      </c>
      <c r="G57" s="375">
        <v>2008</v>
      </c>
      <c r="H57" s="375" t="s">
        <v>1496</v>
      </c>
    </row>
    <row r="58" spans="2:8" ht="12" customHeight="1">
      <c r="B58" s="377" t="s">
        <v>832</v>
      </c>
      <c r="C58" s="378"/>
      <c r="D58" s="378"/>
      <c r="E58" s="486"/>
      <c r="F58" s="377" t="s">
        <v>1098</v>
      </c>
      <c r="G58" s="377" t="s">
        <v>833</v>
      </c>
      <c r="H58" s="377"/>
    </row>
    <row r="59" spans="2:8" ht="12" customHeight="1">
      <c r="B59" s="487"/>
      <c r="C59" s="488"/>
      <c r="D59" s="488"/>
      <c r="E59" s="509" t="s">
        <v>1224</v>
      </c>
      <c r="F59" s="510">
        <v>0</v>
      </c>
      <c r="G59" s="510"/>
      <c r="H59" s="510"/>
    </row>
    <row r="60" spans="2:8" ht="12" customHeight="1">
      <c r="B60" s="490"/>
      <c r="C60" s="491"/>
      <c r="D60" s="491"/>
      <c r="E60" s="379"/>
      <c r="F60" s="511"/>
      <c r="G60" s="511"/>
      <c r="H60" s="511"/>
    </row>
    <row r="61" spans="2:8" ht="12" customHeight="1">
      <c r="B61" s="381"/>
      <c r="C61" s="493"/>
      <c r="D61" s="493"/>
      <c r="E61" s="381" t="s">
        <v>130</v>
      </c>
      <c r="F61" s="494"/>
      <c r="G61" s="495"/>
      <c r="H61" s="494"/>
    </row>
    <row r="62" spans="2:8" ht="12" customHeight="1">
      <c r="B62" s="381"/>
      <c r="C62" s="493"/>
      <c r="D62" s="493"/>
      <c r="E62" s="512"/>
      <c r="F62" s="494"/>
      <c r="G62" s="495"/>
      <c r="H62" s="494"/>
    </row>
    <row r="63" spans="2:8" ht="12" customHeight="1">
      <c r="B63" s="385" t="s">
        <v>1433</v>
      </c>
      <c r="C63" s="385" t="s">
        <v>294</v>
      </c>
      <c r="D63" s="385" t="s">
        <v>295</v>
      </c>
      <c r="E63" s="386" t="s">
        <v>767</v>
      </c>
      <c r="F63" s="495"/>
      <c r="G63" s="495"/>
      <c r="H63" s="495"/>
    </row>
    <row r="64" spans="1:8" ht="12" customHeight="1">
      <c r="A64" s="477" t="str">
        <f>D63</f>
        <v>RA112001</v>
      </c>
      <c r="B64" s="382" t="s">
        <v>296</v>
      </c>
      <c r="C64" s="493"/>
      <c r="D64" s="493"/>
      <c r="E64" s="391" t="s">
        <v>731</v>
      </c>
      <c r="F64" s="495">
        <v>0</v>
      </c>
      <c r="G64" s="495">
        <f>+'MLBSS_Receita e Despesa'!C150</f>
        <v>715190219</v>
      </c>
      <c r="H64" s="495"/>
    </row>
    <row r="65" spans="2:8" ht="12" customHeight="1">
      <c r="B65" s="382"/>
      <c r="C65" s="493"/>
      <c r="D65" s="493"/>
      <c r="E65" s="391"/>
      <c r="F65" s="495"/>
      <c r="G65" s="495"/>
      <c r="H65" s="495"/>
    </row>
    <row r="66" spans="2:8" ht="12" customHeight="1">
      <c r="B66" s="385" t="s">
        <v>1433</v>
      </c>
      <c r="C66" s="385" t="s">
        <v>294</v>
      </c>
      <c r="D66" s="385" t="s">
        <v>295</v>
      </c>
      <c r="E66" s="385" t="s">
        <v>297</v>
      </c>
      <c r="F66" s="495"/>
      <c r="G66" s="495"/>
      <c r="H66" s="495"/>
    </row>
    <row r="67" spans="1:8" ht="12" customHeight="1">
      <c r="A67" s="477" t="str">
        <f>D66</f>
        <v>RA112001</v>
      </c>
      <c r="B67" s="382" t="s">
        <v>298</v>
      </c>
      <c r="C67" s="493"/>
      <c r="D67" s="493"/>
      <c r="E67" s="391" t="s">
        <v>1246</v>
      </c>
      <c r="F67" s="495">
        <v>0</v>
      </c>
      <c r="G67" s="495">
        <f>+'MLBSS_Receita e Despesa'!C155</f>
        <v>478229758</v>
      </c>
      <c r="H67" s="495"/>
    </row>
    <row r="68" spans="1:8" ht="12" customHeight="1">
      <c r="A68" s="477" t="str">
        <f>D66</f>
        <v>RA112001</v>
      </c>
      <c r="B68" s="382" t="s">
        <v>299</v>
      </c>
      <c r="C68" s="493"/>
      <c r="D68" s="493"/>
      <c r="E68" s="391" t="s">
        <v>300</v>
      </c>
      <c r="F68" s="495">
        <v>0</v>
      </c>
      <c r="G68" s="495">
        <f>+'MLBSS_Receita e Despesa'!C156</f>
        <v>0</v>
      </c>
      <c r="H68" s="495"/>
    </row>
    <row r="69" spans="2:8" ht="12" customHeight="1">
      <c r="B69" s="382"/>
      <c r="C69" s="493"/>
      <c r="D69" s="493"/>
      <c r="E69" s="391"/>
      <c r="F69" s="495"/>
      <c r="G69" s="495"/>
      <c r="H69" s="495"/>
    </row>
    <row r="70" spans="2:8" ht="12" customHeight="1">
      <c r="B70" s="385" t="s">
        <v>1433</v>
      </c>
      <c r="C70" s="385" t="s">
        <v>301</v>
      </c>
      <c r="D70" s="385" t="s">
        <v>1061</v>
      </c>
      <c r="E70" s="386" t="s">
        <v>196</v>
      </c>
      <c r="F70" s="496">
        <f>SUM(F71:F92)</f>
        <v>12386651</v>
      </c>
      <c r="G70" s="496">
        <f>SUM(G71:G92)</f>
        <v>23886651</v>
      </c>
      <c r="H70" s="496"/>
    </row>
    <row r="71" spans="1:8" ht="12" customHeight="1">
      <c r="A71" s="477" t="str">
        <f aca="true" t="shared" si="1" ref="A71:A92">$D$70</f>
        <v>RA112002</v>
      </c>
      <c r="B71" s="382" t="s">
        <v>545</v>
      </c>
      <c r="C71" s="493"/>
      <c r="D71" s="493"/>
      <c r="E71" s="391" t="s">
        <v>546</v>
      </c>
      <c r="F71" s="499">
        <v>0</v>
      </c>
      <c r="G71" s="499">
        <v>0</v>
      </c>
      <c r="H71" s="499"/>
    </row>
    <row r="72" spans="1:8" ht="12" customHeight="1">
      <c r="A72" s="477" t="str">
        <f t="shared" si="1"/>
        <v>RA112002</v>
      </c>
      <c r="B72" s="382" t="s">
        <v>1465</v>
      </c>
      <c r="C72" s="493"/>
      <c r="D72" s="493"/>
      <c r="E72" s="391" t="s">
        <v>197</v>
      </c>
      <c r="F72" s="499">
        <v>0</v>
      </c>
      <c r="G72" s="499">
        <v>0</v>
      </c>
      <c r="H72" s="499"/>
    </row>
    <row r="73" spans="1:8" ht="12" customHeight="1">
      <c r="A73" s="477" t="str">
        <f t="shared" si="1"/>
        <v>RA112002</v>
      </c>
      <c r="B73" s="382" t="s">
        <v>1290</v>
      </c>
      <c r="C73" s="493"/>
      <c r="D73" s="493"/>
      <c r="E73" s="391" t="s">
        <v>52</v>
      </c>
      <c r="F73" s="499">
        <v>0</v>
      </c>
      <c r="G73" s="499">
        <v>0</v>
      </c>
      <c r="H73" s="499"/>
    </row>
    <row r="74" spans="1:8" ht="12" customHeight="1">
      <c r="A74" s="477" t="str">
        <f t="shared" si="1"/>
        <v>RA112002</v>
      </c>
      <c r="B74" s="382" t="s">
        <v>53</v>
      </c>
      <c r="C74" s="493"/>
      <c r="D74" s="493"/>
      <c r="E74" s="391" t="s">
        <v>54</v>
      </c>
      <c r="F74" s="499">
        <v>0</v>
      </c>
      <c r="G74" s="499">
        <v>0</v>
      </c>
      <c r="H74" s="499"/>
    </row>
    <row r="75" spans="1:8" ht="12" customHeight="1">
      <c r="A75" s="477" t="str">
        <f t="shared" si="1"/>
        <v>RA112002</v>
      </c>
      <c r="B75" s="382" t="s">
        <v>55</v>
      </c>
      <c r="C75" s="493"/>
      <c r="D75" s="493"/>
      <c r="E75" s="391" t="s">
        <v>56</v>
      </c>
      <c r="F75" s="499">
        <v>25</v>
      </c>
      <c r="G75" s="499">
        <v>25</v>
      </c>
      <c r="H75" s="499"/>
    </row>
    <row r="76" spans="1:8" ht="12" customHeight="1">
      <c r="A76" s="477" t="str">
        <f t="shared" si="1"/>
        <v>RA112002</v>
      </c>
      <c r="B76" s="382" t="s">
        <v>57</v>
      </c>
      <c r="C76" s="493"/>
      <c r="D76" s="493"/>
      <c r="E76" s="391" t="s">
        <v>58</v>
      </c>
      <c r="F76" s="499">
        <v>0</v>
      </c>
      <c r="G76" s="499">
        <v>0</v>
      </c>
      <c r="H76" s="499"/>
    </row>
    <row r="77" spans="1:8" ht="12" customHeight="1">
      <c r="A77" s="477" t="str">
        <f t="shared" si="1"/>
        <v>RA112002</v>
      </c>
      <c r="B77" s="382" t="s">
        <v>1570</v>
      </c>
      <c r="C77" s="493"/>
      <c r="D77" s="493"/>
      <c r="E77" s="391" t="s">
        <v>1571</v>
      </c>
      <c r="F77" s="499">
        <v>0</v>
      </c>
      <c r="G77" s="499">
        <v>0</v>
      </c>
      <c r="H77" s="499"/>
    </row>
    <row r="78" spans="1:8" ht="12" customHeight="1">
      <c r="A78" s="477" t="str">
        <f t="shared" si="1"/>
        <v>RA112002</v>
      </c>
      <c r="B78" s="382" t="s">
        <v>1499</v>
      </c>
      <c r="C78" s="493"/>
      <c r="D78" s="493"/>
      <c r="E78" s="391" t="s">
        <v>925</v>
      </c>
      <c r="F78" s="499">
        <v>50101</v>
      </c>
      <c r="G78" s="499">
        <v>50101</v>
      </c>
      <c r="H78" s="499"/>
    </row>
    <row r="79" spans="1:8" ht="12" customHeight="1">
      <c r="A79" s="477" t="str">
        <f t="shared" si="1"/>
        <v>RA112002</v>
      </c>
      <c r="B79" s="382" t="s">
        <v>926</v>
      </c>
      <c r="C79" s="493"/>
      <c r="D79" s="493"/>
      <c r="E79" s="391" t="s">
        <v>927</v>
      </c>
      <c r="F79" s="499">
        <v>160</v>
      </c>
      <c r="G79" s="499">
        <v>160</v>
      </c>
      <c r="H79" s="499"/>
    </row>
    <row r="80" spans="1:8" ht="12" customHeight="1">
      <c r="A80" s="477" t="str">
        <f t="shared" si="1"/>
        <v>RA112002</v>
      </c>
      <c r="B80" s="382" t="s">
        <v>928</v>
      </c>
      <c r="C80" s="493"/>
      <c r="D80" s="493"/>
      <c r="E80" s="388" t="s">
        <v>929</v>
      </c>
      <c r="F80" s="499">
        <v>126</v>
      </c>
      <c r="G80" s="499">
        <v>126</v>
      </c>
      <c r="H80" s="499"/>
    </row>
    <row r="81" spans="1:8" ht="12" customHeight="1">
      <c r="A81" s="477" t="str">
        <f t="shared" si="1"/>
        <v>RA112002</v>
      </c>
      <c r="B81" s="382" t="s">
        <v>930</v>
      </c>
      <c r="C81" s="493"/>
      <c r="D81" s="493"/>
      <c r="E81" s="388" t="s">
        <v>471</v>
      </c>
      <c r="F81" s="499">
        <v>126</v>
      </c>
      <c r="G81" s="499">
        <v>126</v>
      </c>
      <c r="H81" s="499"/>
    </row>
    <row r="82" spans="1:8" ht="12" customHeight="1">
      <c r="A82" s="477" t="str">
        <f t="shared" si="1"/>
        <v>RA112002</v>
      </c>
      <c r="B82" s="382" t="s">
        <v>472</v>
      </c>
      <c r="C82" s="493"/>
      <c r="D82" s="493"/>
      <c r="E82" s="388" t="s">
        <v>540</v>
      </c>
      <c r="F82" s="499">
        <v>0</v>
      </c>
      <c r="G82" s="499">
        <v>0</v>
      </c>
      <c r="H82" s="499"/>
    </row>
    <row r="83" spans="1:8" ht="12" customHeight="1">
      <c r="A83" s="477" t="str">
        <f t="shared" si="1"/>
        <v>RA112002</v>
      </c>
      <c r="B83" s="382" t="s">
        <v>541</v>
      </c>
      <c r="C83" s="493"/>
      <c r="D83" s="493"/>
      <c r="E83" s="388" t="s">
        <v>474</v>
      </c>
      <c r="F83" s="499">
        <v>0</v>
      </c>
      <c r="G83" s="499">
        <v>0</v>
      </c>
      <c r="H83" s="499"/>
    </row>
    <row r="84" spans="1:8" ht="12" customHeight="1">
      <c r="A84" s="477" t="str">
        <f t="shared" si="1"/>
        <v>RA112002</v>
      </c>
      <c r="B84" s="382" t="s">
        <v>1085</v>
      </c>
      <c r="C84" s="493"/>
      <c r="D84" s="493"/>
      <c r="E84" s="388" t="s">
        <v>1086</v>
      </c>
      <c r="F84" s="499">
        <v>150</v>
      </c>
      <c r="G84" s="499">
        <v>150</v>
      </c>
      <c r="H84" s="499"/>
    </row>
    <row r="85" spans="1:8" ht="12" customHeight="1">
      <c r="A85" s="477" t="str">
        <f t="shared" si="1"/>
        <v>RA112002</v>
      </c>
      <c r="B85" s="382" t="s">
        <v>1087</v>
      </c>
      <c r="C85" s="493"/>
      <c r="D85" s="493"/>
      <c r="E85" s="388" t="s">
        <v>1088</v>
      </c>
      <c r="F85" s="499">
        <v>0</v>
      </c>
      <c r="G85" s="499">
        <v>0</v>
      </c>
      <c r="H85" s="499"/>
    </row>
    <row r="86" spans="1:8" ht="12" customHeight="1">
      <c r="A86" s="477" t="str">
        <f t="shared" si="1"/>
        <v>RA112002</v>
      </c>
      <c r="B86" s="382" t="s">
        <v>1089</v>
      </c>
      <c r="C86" s="493"/>
      <c r="D86" s="493"/>
      <c r="E86" s="388" t="s">
        <v>1090</v>
      </c>
      <c r="F86" s="499">
        <v>0</v>
      </c>
      <c r="G86" s="499">
        <v>0</v>
      </c>
      <c r="H86" s="499"/>
    </row>
    <row r="87" spans="1:8" ht="12" customHeight="1">
      <c r="A87" s="477" t="str">
        <f t="shared" si="1"/>
        <v>RA112002</v>
      </c>
      <c r="B87" s="382" t="s">
        <v>1091</v>
      </c>
      <c r="C87" s="493"/>
      <c r="D87" s="493"/>
      <c r="E87" s="388" t="s">
        <v>1092</v>
      </c>
      <c r="F87" s="499">
        <v>0</v>
      </c>
      <c r="G87" s="499">
        <v>0</v>
      </c>
      <c r="H87" s="499"/>
    </row>
    <row r="88" spans="1:8" ht="12" customHeight="1">
      <c r="A88" s="477" t="str">
        <f t="shared" si="1"/>
        <v>RA112002</v>
      </c>
      <c r="B88" s="382" t="s">
        <v>1093</v>
      </c>
      <c r="C88" s="493"/>
      <c r="D88" s="493"/>
      <c r="E88" s="388" t="s">
        <v>607</v>
      </c>
      <c r="F88" s="499">
        <v>0</v>
      </c>
      <c r="G88" s="499">
        <v>0</v>
      </c>
      <c r="H88" s="499"/>
    </row>
    <row r="89" spans="1:8" ht="12" customHeight="1">
      <c r="A89" s="477" t="str">
        <f t="shared" si="1"/>
        <v>RA112002</v>
      </c>
      <c r="B89" s="382" t="s">
        <v>608</v>
      </c>
      <c r="C89" s="493"/>
      <c r="D89" s="493"/>
      <c r="E89" s="388" t="s">
        <v>88</v>
      </c>
      <c r="F89" s="499">
        <v>170</v>
      </c>
      <c r="G89" s="499">
        <v>170</v>
      </c>
      <c r="H89" s="499"/>
    </row>
    <row r="90" spans="1:8" ht="12" customHeight="1">
      <c r="A90" s="477" t="str">
        <f t="shared" si="1"/>
        <v>RA112002</v>
      </c>
      <c r="B90" s="382" t="s">
        <v>89</v>
      </c>
      <c r="C90" s="493"/>
      <c r="D90" s="493"/>
      <c r="E90" s="388" t="s">
        <v>325</v>
      </c>
      <c r="F90" s="499">
        <v>125</v>
      </c>
      <c r="G90" s="499">
        <v>125</v>
      </c>
      <c r="H90" s="499"/>
    </row>
    <row r="91" spans="1:8" ht="12" customHeight="1">
      <c r="A91" s="477" t="str">
        <f t="shared" si="1"/>
        <v>RA112002</v>
      </c>
      <c r="B91" s="382" t="s">
        <v>326</v>
      </c>
      <c r="C91" s="493"/>
      <c r="D91" s="493"/>
      <c r="E91" s="388" t="s">
        <v>849</v>
      </c>
      <c r="F91" s="499">
        <v>2012798</v>
      </c>
      <c r="G91" s="499">
        <v>2012798</v>
      </c>
      <c r="H91" s="499"/>
    </row>
    <row r="92" spans="1:8" ht="12" customHeight="1">
      <c r="A92" s="477" t="str">
        <f t="shared" si="1"/>
        <v>RA112002</v>
      </c>
      <c r="B92" s="382" t="s">
        <v>1412</v>
      </c>
      <c r="C92" s="493"/>
      <c r="D92" s="493"/>
      <c r="E92" s="388" t="s">
        <v>127</v>
      </c>
      <c r="F92" s="495">
        <v>10322870</v>
      </c>
      <c r="G92" s="495">
        <f>10322870+8000000+3500000</f>
        <v>21822870</v>
      </c>
      <c r="H92" s="495"/>
    </row>
    <row r="93" spans="2:8" ht="12" customHeight="1">
      <c r="B93" s="397"/>
      <c r="C93" s="500"/>
      <c r="D93" s="500"/>
      <c r="E93" s="513"/>
      <c r="F93" s="514"/>
      <c r="G93" s="514"/>
      <c r="H93" s="514"/>
    </row>
    <row r="94" spans="2:8" s="477" customFormat="1" ht="12" customHeight="1">
      <c r="B94" s="401"/>
      <c r="C94" s="502"/>
      <c r="D94" s="502"/>
      <c r="E94" s="400" t="s">
        <v>920</v>
      </c>
      <c r="F94" s="503">
        <f>+F70+F68+F67+F64</f>
        <v>12386651</v>
      </c>
      <c r="G94" s="503">
        <f>+G70+G68+G67+G64</f>
        <v>1217306628</v>
      </c>
      <c r="H94" s="503">
        <f>+'MLBSS_Receita e Despesa'!C142</f>
        <v>1278521977</v>
      </c>
    </row>
    <row r="95" spans="2:8" ht="12" customHeight="1">
      <c r="B95" s="369" t="s">
        <v>656</v>
      </c>
      <c r="C95" s="369"/>
      <c r="D95" s="369"/>
      <c r="E95" s="369"/>
      <c r="F95" s="515"/>
      <c r="G95" s="534">
        <f>+'MLBSS_Receita e Despesa'!C142</f>
        <v>1278521977</v>
      </c>
      <c r="H95" s="515"/>
    </row>
    <row r="96" spans="2:8" ht="12" customHeight="1">
      <c r="B96" s="369" t="s">
        <v>1084</v>
      </c>
      <c r="C96" s="369"/>
      <c r="D96" s="369"/>
      <c r="E96" s="369"/>
      <c r="F96" s="515"/>
      <c r="G96" s="515"/>
      <c r="H96" s="515"/>
    </row>
    <row r="97" spans="2:8" ht="12" customHeight="1">
      <c r="B97" s="369"/>
      <c r="C97" s="369"/>
      <c r="D97" s="369"/>
      <c r="E97" s="369"/>
      <c r="F97" s="508"/>
      <c r="G97" s="508"/>
      <c r="H97" s="508"/>
    </row>
    <row r="98" spans="2:8" ht="12" customHeight="1">
      <c r="B98" s="373" t="s">
        <v>1360</v>
      </c>
      <c r="C98" s="374"/>
      <c r="D98" s="374"/>
      <c r="E98" s="373"/>
      <c r="F98" s="373" t="s">
        <v>1361</v>
      </c>
      <c r="G98" s="373" t="s">
        <v>1361</v>
      </c>
      <c r="H98" s="373"/>
    </row>
    <row r="99" spans="2:8" ht="12" customHeight="1">
      <c r="B99" s="375" t="s">
        <v>1362</v>
      </c>
      <c r="C99" s="376" t="s">
        <v>1363</v>
      </c>
      <c r="D99" s="376" t="s">
        <v>831</v>
      </c>
      <c r="E99" s="375" t="s">
        <v>1080</v>
      </c>
      <c r="F99" s="375">
        <v>2008</v>
      </c>
      <c r="G99" s="375">
        <v>2008</v>
      </c>
      <c r="H99" s="375" t="s">
        <v>1496</v>
      </c>
    </row>
    <row r="100" spans="2:8" ht="12" customHeight="1">
      <c r="B100" s="377" t="s">
        <v>832</v>
      </c>
      <c r="C100" s="378"/>
      <c r="D100" s="378"/>
      <c r="E100" s="486"/>
      <c r="F100" s="377" t="s">
        <v>1098</v>
      </c>
      <c r="G100" s="377" t="s">
        <v>833</v>
      </c>
      <c r="H100" s="377"/>
    </row>
    <row r="101" spans="2:8" ht="12" customHeight="1">
      <c r="B101" s="487"/>
      <c r="C101" s="488"/>
      <c r="D101" s="488"/>
      <c r="E101" s="487" t="s">
        <v>1224</v>
      </c>
      <c r="F101" s="495">
        <v>0</v>
      </c>
      <c r="G101" s="495"/>
      <c r="H101" s="495"/>
    </row>
    <row r="102" spans="2:8" ht="12" customHeight="1">
      <c r="B102" s="490"/>
      <c r="C102" s="491"/>
      <c r="D102" s="491"/>
      <c r="E102" s="490"/>
      <c r="F102" s="495"/>
      <c r="G102" s="495"/>
      <c r="H102" s="495"/>
    </row>
    <row r="103" spans="2:8" ht="12" customHeight="1">
      <c r="B103" s="382"/>
      <c r="C103" s="493"/>
      <c r="D103" s="493"/>
      <c r="E103" s="381" t="s">
        <v>130</v>
      </c>
      <c r="F103" s="495"/>
      <c r="G103" s="495"/>
      <c r="H103" s="495"/>
    </row>
    <row r="104" spans="2:8" ht="12" customHeight="1">
      <c r="B104" s="385"/>
      <c r="C104" s="385"/>
      <c r="D104" s="385"/>
      <c r="E104" s="386"/>
      <c r="F104" s="495"/>
      <c r="G104" s="495"/>
      <c r="H104" s="495"/>
    </row>
    <row r="105" spans="2:8" ht="12" customHeight="1">
      <c r="B105" s="385" t="s">
        <v>1433</v>
      </c>
      <c r="C105" s="385" t="s">
        <v>1572</v>
      </c>
      <c r="D105" s="385" t="s">
        <v>1606</v>
      </c>
      <c r="E105" s="385" t="s">
        <v>1048</v>
      </c>
      <c r="F105" s="495"/>
      <c r="G105" s="495"/>
      <c r="H105" s="495"/>
    </row>
    <row r="106" spans="1:8" ht="12" customHeight="1">
      <c r="A106" s="477" t="str">
        <f>D105</f>
        <v>RA113001</v>
      </c>
      <c r="B106" s="382" t="s">
        <v>1049</v>
      </c>
      <c r="C106" s="385"/>
      <c r="D106" s="385"/>
      <c r="E106" s="409" t="s">
        <v>739</v>
      </c>
      <c r="F106" s="495">
        <v>0</v>
      </c>
      <c r="G106" s="495">
        <f>+'MLBSS_Receita e Despesa'!C245</f>
        <v>1339631007</v>
      </c>
      <c r="H106" s="495"/>
    </row>
    <row r="107" spans="2:8" ht="12" customHeight="1">
      <c r="B107" s="382"/>
      <c r="C107" s="493"/>
      <c r="D107" s="493"/>
      <c r="E107" s="391"/>
      <c r="F107" s="495"/>
      <c r="G107" s="495"/>
      <c r="H107" s="495"/>
    </row>
    <row r="108" spans="2:8" ht="12" customHeight="1">
      <c r="B108" s="382"/>
      <c r="C108" s="493"/>
      <c r="D108" s="493"/>
      <c r="E108" s="386" t="s">
        <v>358</v>
      </c>
      <c r="F108" s="495"/>
      <c r="G108" s="495"/>
      <c r="H108" s="495"/>
    </row>
    <row r="109" spans="1:8" ht="12" customHeight="1">
      <c r="A109" s="477" t="str">
        <f>D105</f>
        <v>RA113001</v>
      </c>
      <c r="B109" s="382" t="s">
        <v>1050</v>
      </c>
      <c r="C109" s="493"/>
      <c r="D109" s="493"/>
      <c r="E109" s="391" t="s">
        <v>1242</v>
      </c>
      <c r="F109" s="495">
        <v>120596000</v>
      </c>
      <c r="G109" s="495">
        <f>+'MLBSS_Receita e Despesa'!C248</f>
        <v>123500000</v>
      </c>
      <c r="H109" s="495"/>
    </row>
    <row r="110" spans="2:8" ht="12" customHeight="1">
      <c r="B110" s="382"/>
      <c r="C110" s="493"/>
      <c r="D110" s="493"/>
      <c r="E110" s="391"/>
      <c r="F110" s="495"/>
      <c r="G110" s="495"/>
      <c r="H110" s="495"/>
    </row>
    <row r="111" spans="2:8" ht="12" customHeight="1">
      <c r="B111" s="385" t="s">
        <v>1433</v>
      </c>
      <c r="C111" s="385" t="s">
        <v>1051</v>
      </c>
      <c r="D111" s="385" t="s">
        <v>592</v>
      </c>
      <c r="E111" s="385" t="s">
        <v>1243</v>
      </c>
      <c r="F111" s="496">
        <f>SUM(F112:F120)</f>
        <v>154805680</v>
      </c>
      <c r="G111" s="496">
        <f>SUM(G112:G120)</f>
        <v>161917250</v>
      </c>
      <c r="H111" s="496"/>
    </row>
    <row r="112" spans="1:8" ht="12" customHeight="1">
      <c r="A112" s="477" t="str">
        <f aca="true" t="shared" si="2" ref="A112:A120">$D$111</f>
        <v>RA113002</v>
      </c>
      <c r="B112" s="382" t="s">
        <v>1052</v>
      </c>
      <c r="C112" s="493"/>
      <c r="D112" s="493"/>
      <c r="E112" s="391" t="s">
        <v>1068</v>
      </c>
      <c r="F112" s="495">
        <v>42848001</v>
      </c>
      <c r="G112" s="495">
        <f>+'MLBSS_Receita e Despesa'!C251</f>
        <v>44816383</v>
      </c>
      <c r="H112" s="495"/>
    </row>
    <row r="113" spans="1:8" ht="12" customHeight="1">
      <c r="A113" s="477" t="str">
        <f t="shared" si="2"/>
        <v>RA113002</v>
      </c>
      <c r="B113" s="382" t="s">
        <v>1053</v>
      </c>
      <c r="C113" s="493"/>
      <c r="D113" s="493"/>
      <c r="E113" s="391" t="s">
        <v>508</v>
      </c>
      <c r="F113" s="495">
        <v>11518280</v>
      </c>
      <c r="G113" s="495">
        <f>+'MLBSS_Receita e Despesa'!C252</f>
        <v>12047414</v>
      </c>
      <c r="H113" s="495"/>
    </row>
    <row r="114" spans="1:8" ht="12" customHeight="1">
      <c r="A114" s="477" t="str">
        <f t="shared" si="2"/>
        <v>RA113002</v>
      </c>
      <c r="B114" s="382" t="s">
        <v>1054</v>
      </c>
      <c r="C114" s="493"/>
      <c r="D114" s="493"/>
      <c r="E114" s="391" t="s">
        <v>509</v>
      </c>
      <c r="F114" s="495">
        <v>59895055</v>
      </c>
      <c r="G114" s="495">
        <f>+'MLBSS_Receita e Despesa'!C253</f>
        <v>62646556</v>
      </c>
      <c r="H114" s="495"/>
    </row>
    <row r="115" spans="1:8" ht="12" customHeight="1">
      <c r="A115" s="477" t="str">
        <f t="shared" si="2"/>
        <v>RA113002</v>
      </c>
      <c r="B115" s="382" t="s">
        <v>1055</v>
      </c>
      <c r="C115" s="493"/>
      <c r="D115" s="493"/>
      <c r="E115" s="391" t="s">
        <v>876</v>
      </c>
      <c r="F115" s="495">
        <v>12900473</v>
      </c>
      <c r="G115" s="495">
        <f>+'MLBSS_Receita e Despesa'!C254</f>
        <v>13493102</v>
      </c>
      <c r="H115" s="495"/>
    </row>
    <row r="116" spans="1:8" ht="12" customHeight="1">
      <c r="A116" s="477" t="str">
        <f t="shared" si="2"/>
        <v>RA113002</v>
      </c>
      <c r="B116" s="382" t="s">
        <v>1056</v>
      </c>
      <c r="C116" s="493"/>
      <c r="D116" s="493"/>
      <c r="E116" s="391" t="s">
        <v>877</v>
      </c>
      <c r="F116" s="495">
        <v>7832430</v>
      </c>
      <c r="G116" s="495">
        <f>+'MLBSS_Receita e Despesa'!C255</f>
        <v>8192242</v>
      </c>
      <c r="H116" s="495"/>
    </row>
    <row r="117" spans="1:8" ht="12" customHeight="1">
      <c r="A117" s="477" t="str">
        <f t="shared" si="2"/>
        <v>RA113002</v>
      </c>
      <c r="B117" s="382" t="s">
        <v>602</v>
      </c>
      <c r="C117" s="493"/>
      <c r="D117" s="493"/>
      <c r="E117" s="391" t="s">
        <v>878</v>
      </c>
      <c r="F117" s="495">
        <v>7832430</v>
      </c>
      <c r="G117" s="495">
        <f>+'MLBSS_Receita e Despesa'!C256</f>
        <v>8192242</v>
      </c>
      <c r="H117" s="495"/>
    </row>
    <row r="118" spans="1:8" ht="12" customHeight="1">
      <c r="A118" s="477" t="str">
        <f t="shared" si="2"/>
        <v>RA113002</v>
      </c>
      <c r="B118" s="382" t="s">
        <v>651</v>
      </c>
      <c r="C118" s="493"/>
      <c r="D118" s="493"/>
      <c r="E118" s="391" t="s">
        <v>879</v>
      </c>
      <c r="F118" s="495">
        <v>1382194</v>
      </c>
      <c r="G118" s="495">
        <f>+'MLBSS_Receita e Despesa'!C257</f>
        <v>1445690</v>
      </c>
      <c r="H118" s="495"/>
    </row>
    <row r="119" spans="1:8" ht="12" customHeight="1">
      <c r="A119" s="477" t="str">
        <f t="shared" si="2"/>
        <v>RA113002</v>
      </c>
      <c r="B119" s="382" t="s">
        <v>1071</v>
      </c>
      <c r="C119" s="493"/>
      <c r="D119" s="493"/>
      <c r="E119" s="391" t="s">
        <v>175</v>
      </c>
      <c r="F119" s="495">
        <v>10596817</v>
      </c>
      <c r="G119" s="495">
        <f>+'MLBSS_Receita e Despesa'!C258</f>
        <v>11083621</v>
      </c>
      <c r="H119" s="495"/>
    </row>
    <row r="120" spans="1:8" ht="12" customHeight="1">
      <c r="A120" s="477" t="str">
        <f t="shared" si="2"/>
        <v>RA113002</v>
      </c>
      <c r="B120" s="382" t="s">
        <v>745</v>
      </c>
      <c r="C120" s="493"/>
      <c r="D120" s="493"/>
      <c r="E120" s="391" t="s">
        <v>713</v>
      </c>
      <c r="F120" s="495">
        <v>0</v>
      </c>
      <c r="G120" s="495">
        <f>+'MLBSS_Receita e Despesa'!C259</f>
        <v>0</v>
      </c>
      <c r="H120" s="495"/>
    </row>
    <row r="121" spans="2:8" ht="12" customHeight="1">
      <c r="B121" s="382"/>
      <c r="C121" s="493"/>
      <c r="D121" s="493"/>
      <c r="E121" s="391"/>
      <c r="F121" s="495"/>
      <c r="G121" s="495"/>
      <c r="H121" s="495"/>
    </row>
    <row r="122" spans="2:8" ht="12" customHeight="1">
      <c r="B122" s="385" t="s">
        <v>1433</v>
      </c>
      <c r="C122" s="385" t="s">
        <v>746</v>
      </c>
      <c r="D122" s="385" t="s">
        <v>593</v>
      </c>
      <c r="E122" s="385" t="s">
        <v>634</v>
      </c>
      <c r="F122" s="495"/>
      <c r="G122" s="495"/>
      <c r="H122" s="495"/>
    </row>
    <row r="123" spans="2:8" ht="12" customHeight="1">
      <c r="B123" s="382" t="s">
        <v>1412</v>
      </c>
      <c r="C123" s="385"/>
      <c r="D123" s="385"/>
      <c r="E123" s="388" t="s">
        <v>127</v>
      </c>
      <c r="F123" s="495">
        <v>50</v>
      </c>
      <c r="G123" s="495">
        <f>+'MLBSS_Receita e Despesa'!C260</f>
        <v>50</v>
      </c>
      <c r="H123" s="495"/>
    </row>
    <row r="124" spans="2:8" ht="12" customHeight="1">
      <c r="B124" s="382"/>
      <c r="C124" s="493"/>
      <c r="D124" s="493"/>
      <c r="E124" s="391"/>
      <c r="F124" s="495"/>
      <c r="G124" s="495"/>
      <c r="H124" s="495"/>
    </row>
    <row r="125" spans="2:8" ht="12" customHeight="1">
      <c r="B125" s="385" t="s">
        <v>1433</v>
      </c>
      <c r="C125" s="385" t="s">
        <v>747</v>
      </c>
      <c r="D125" s="385" t="s">
        <v>826</v>
      </c>
      <c r="E125" s="385" t="s">
        <v>635</v>
      </c>
      <c r="F125" s="495"/>
      <c r="G125" s="495"/>
      <c r="H125" s="495"/>
    </row>
    <row r="126" spans="2:11" ht="12" customHeight="1">
      <c r="B126" s="382" t="s">
        <v>1412</v>
      </c>
      <c r="C126" s="385"/>
      <c r="D126" s="385"/>
      <c r="E126" s="388" t="s">
        <v>127</v>
      </c>
      <c r="F126" s="495">
        <v>50</v>
      </c>
      <c r="G126" s="495">
        <f>+'MLBSS_Receita e Despesa'!C262</f>
        <v>50</v>
      </c>
      <c r="H126" s="495"/>
      <c r="K126" s="520">
        <f>G134+G145+G123+G126</f>
        <v>16475534</v>
      </c>
    </row>
    <row r="127" spans="2:8" ht="12" customHeight="1">
      <c r="B127" s="382"/>
      <c r="C127" s="493"/>
      <c r="D127" s="493"/>
      <c r="E127" s="391"/>
      <c r="F127" s="495"/>
      <c r="G127" s="495"/>
      <c r="H127" s="495"/>
    </row>
    <row r="128" spans="2:8" ht="12" customHeight="1">
      <c r="B128" s="385" t="s">
        <v>1433</v>
      </c>
      <c r="C128" s="385" t="s">
        <v>748</v>
      </c>
      <c r="D128" s="385" t="s">
        <v>749</v>
      </c>
      <c r="E128" s="385" t="s">
        <v>1191</v>
      </c>
      <c r="F128" s="495"/>
      <c r="G128" s="495"/>
      <c r="H128" s="495"/>
    </row>
    <row r="129" spans="1:8" ht="12" customHeight="1">
      <c r="A129" s="477" t="str">
        <f>D128</f>
        <v>RA113005</v>
      </c>
      <c r="B129" s="382" t="s">
        <v>750</v>
      </c>
      <c r="C129" s="385"/>
      <c r="D129" s="385"/>
      <c r="E129" s="391" t="s">
        <v>751</v>
      </c>
      <c r="F129" s="495">
        <v>0</v>
      </c>
      <c r="G129" s="495">
        <f>+'MLBSS_Receita e Despesa'!C264</f>
        <v>584419</v>
      </c>
      <c r="H129" s="495"/>
    </row>
    <row r="130" spans="2:8" ht="12" customHeight="1">
      <c r="B130" s="385"/>
      <c r="C130" s="493"/>
      <c r="D130" s="493"/>
      <c r="E130" s="385"/>
      <c r="F130" s="495"/>
      <c r="G130" s="495"/>
      <c r="H130" s="495"/>
    </row>
    <row r="131" spans="2:8" ht="12" customHeight="1">
      <c r="B131" s="385" t="s">
        <v>1433</v>
      </c>
      <c r="C131" s="385" t="s">
        <v>595</v>
      </c>
      <c r="D131" s="385" t="s">
        <v>596</v>
      </c>
      <c r="E131" s="385" t="s">
        <v>1094</v>
      </c>
      <c r="F131" s="495"/>
      <c r="G131" s="495"/>
      <c r="H131" s="495"/>
    </row>
    <row r="132" spans="1:8" ht="12" customHeight="1">
      <c r="A132" s="477" t="str">
        <f>D131</f>
        <v>RA113006</v>
      </c>
      <c r="B132" s="382" t="s">
        <v>750</v>
      </c>
      <c r="C132" s="493"/>
      <c r="D132" s="493"/>
      <c r="E132" s="391" t="s">
        <v>751</v>
      </c>
      <c r="F132" s="495">
        <v>456950</v>
      </c>
      <c r="G132" s="495">
        <f>+'MLBSS_Receita e Despesa'!C266</f>
        <v>806068</v>
      </c>
      <c r="H132" s="495"/>
    </row>
    <row r="133" spans="2:8" ht="12" customHeight="1">
      <c r="B133" s="382"/>
      <c r="C133" s="493"/>
      <c r="D133" s="493"/>
      <c r="E133" s="382"/>
      <c r="F133" s="495"/>
      <c r="G133" s="495"/>
      <c r="H133" s="495"/>
    </row>
    <row r="134" spans="2:8" ht="12" customHeight="1">
      <c r="B134" s="385" t="s">
        <v>1433</v>
      </c>
      <c r="C134" s="385" t="s">
        <v>597</v>
      </c>
      <c r="D134" s="385" t="s">
        <v>598</v>
      </c>
      <c r="E134" s="385" t="s">
        <v>599</v>
      </c>
      <c r="F134" s="496">
        <f>SUM(F135:F143)</f>
        <v>11000</v>
      </c>
      <c r="G134" s="496">
        <f>SUM(G135:G143)</f>
        <v>11000</v>
      </c>
      <c r="H134" s="496"/>
    </row>
    <row r="135" spans="1:8" ht="12" customHeight="1">
      <c r="A135" s="477" t="str">
        <f>$D$134</f>
        <v>RA113007</v>
      </c>
      <c r="B135" s="382" t="s">
        <v>1465</v>
      </c>
      <c r="C135" s="493"/>
      <c r="D135" s="493"/>
      <c r="E135" s="391" t="s">
        <v>197</v>
      </c>
      <c r="F135" s="495">
        <v>200</v>
      </c>
      <c r="G135" s="495">
        <v>200</v>
      </c>
      <c r="H135" s="495"/>
    </row>
    <row r="136" spans="1:8" ht="12" customHeight="1">
      <c r="A136" s="477" t="str">
        <f>$D$134</f>
        <v>RA113007</v>
      </c>
      <c r="B136" s="382" t="s">
        <v>53</v>
      </c>
      <c r="C136" s="493"/>
      <c r="D136" s="493"/>
      <c r="E136" s="391" t="s">
        <v>54</v>
      </c>
      <c r="F136" s="495">
        <v>200</v>
      </c>
      <c r="G136" s="495">
        <v>200</v>
      </c>
      <c r="H136" s="495"/>
    </row>
    <row r="137" spans="1:8" ht="12" customHeight="1">
      <c r="A137" s="477" t="str">
        <f>$D$134</f>
        <v>RA113007</v>
      </c>
      <c r="B137" s="382" t="s">
        <v>55</v>
      </c>
      <c r="C137" s="493"/>
      <c r="D137" s="493"/>
      <c r="E137" s="391" t="s">
        <v>56</v>
      </c>
      <c r="F137" s="495">
        <v>200</v>
      </c>
      <c r="G137" s="495">
        <v>200</v>
      </c>
      <c r="H137" s="495"/>
    </row>
    <row r="138" spans="1:8" ht="12" customHeight="1">
      <c r="A138" s="477" t="str">
        <f>$D$134</f>
        <v>RA113007</v>
      </c>
      <c r="B138" s="382" t="s">
        <v>57</v>
      </c>
      <c r="C138" s="493"/>
      <c r="D138" s="493"/>
      <c r="E138" s="391" t="s">
        <v>58</v>
      </c>
      <c r="F138" s="495">
        <v>100</v>
      </c>
      <c r="G138" s="495">
        <v>100</v>
      </c>
      <c r="H138" s="495"/>
    </row>
    <row r="139" spans="1:8" ht="12" customHeight="1">
      <c r="A139" s="477" t="str">
        <f>$D$134</f>
        <v>RA113007</v>
      </c>
      <c r="B139" s="382" t="s">
        <v>1570</v>
      </c>
      <c r="C139" s="493"/>
      <c r="D139" s="493"/>
      <c r="E139" s="391" t="s">
        <v>1571</v>
      </c>
      <c r="F139" s="495">
        <v>0</v>
      </c>
      <c r="G139" s="495">
        <v>0</v>
      </c>
      <c r="H139" s="495"/>
    </row>
    <row r="140" spans="2:8" ht="12" customHeight="1">
      <c r="B140" s="382" t="s">
        <v>926</v>
      </c>
      <c r="C140" s="493"/>
      <c r="D140" s="493"/>
      <c r="E140" s="391" t="s">
        <v>927</v>
      </c>
      <c r="F140" s="495">
        <v>100</v>
      </c>
      <c r="G140" s="495">
        <v>100</v>
      </c>
      <c r="H140" s="495"/>
    </row>
    <row r="141" spans="1:8" ht="12" customHeight="1">
      <c r="A141" s="477" t="str">
        <f>$D$134</f>
        <v>RA113007</v>
      </c>
      <c r="B141" s="382" t="s">
        <v>1085</v>
      </c>
      <c r="C141" s="493"/>
      <c r="D141" s="493"/>
      <c r="E141" s="388" t="s">
        <v>1086</v>
      </c>
      <c r="F141" s="495">
        <v>100</v>
      </c>
      <c r="G141" s="495">
        <v>100</v>
      </c>
      <c r="H141" s="495"/>
    </row>
    <row r="142" spans="1:8" ht="12" customHeight="1">
      <c r="A142" s="477" t="str">
        <f>$D$134</f>
        <v>RA113007</v>
      </c>
      <c r="B142" s="382" t="s">
        <v>326</v>
      </c>
      <c r="C142" s="493"/>
      <c r="D142" s="493"/>
      <c r="E142" s="388" t="s">
        <v>849</v>
      </c>
      <c r="F142" s="495">
        <v>100</v>
      </c>
      <c r="G142" s="495">
        <v>100</v>
      </c>
      <c r="H142" s="495"/>
    </row>
    <row r="143" spans="1:8" ht="12" customHeight="1">
      <c r="A143" s="477" t="str">
        <f>$D$134</f>
        <v>RA113007</v>
      </c>
      <c r="B143" s="382" t="s">
        <v>1412</v>
      </c>
      <c r="C143" s="493"/>
      <c r="D143" s="493"/>
      <c r="E143" s="388" t="s">
        <v>127</v>
      </c>
      <c r="F143" s="495">
        <v>10000</v>
      </c>
      <c r="G143" s="495">
        <v>10000</v>
      </c>
      <c r="H143" s="495"/>
    </row>
    <row r="144" spans="2:8" ht="12" customHeight="1">
      <c r="B144" s="382"/>
      <c r="C144" s="493"/>
      <c r="D144" s="493"/>
      <c r="E144" s="386"/>
      <c r="F144" s="495"/>
      <c r="G144" s="495"/>
      <c r="H144" s="495"/>
    </row>
    <row r="145" spans="2:8" ht="12" customHeight="1">
      <c r="B145" s="385" t="s">
        <v>1433</v>
      </c>
      <c r="C145" s="385" t="s">
        <v>600</v>
      </c>
      <c r="D145" s="385" t="s">
        <v>601</v>
      </c>
      <c r="E145" s="386" t="s">
        <v>196</v>
      </c>
      <c r="F145" s="496">
        <f>SUM(F146:F169)</f>
        <v>11464434</v>
      </c>
      <c r="G145" s="496">
        <f>SUM(G146:G169)</f>
        <v>16464434</v>
      </c>
      <c r="H145" s="496"/>
    </row>
    <row r="146" spans="1:8" ht="12" customHeight="1">
      <c r="A146" s="477" t="str">
        <f aca="true" t="shared" si="3" ref="A146:A169">$D$145</f>
        <v>RA113008</v>
      </c>
      <c r="B146" s="382" t="s">
        <v>545</v>
      </c>
      <c r="C146" s="493"/>
      <c r="D146" s="493"/>
      <c r="E146" s="391" t="s">
        <v>546</v>
      </c>
      <c r="F146" s="495">
        <v>10</v>
      </c>
      <c r="G146" s="495">
        <v>10</v>
      </c>
      <c r="H146" s="495"/>
    </row>
    <row r="147" spans="1:8" ht="12" customHeight="1">
      <c r="A147" s="477" t="str">
        <f t="shared" si="3"/>
        <v>RA113008</v>
      </c>
      <c r="B147" s="382" t="s">
        <v>1465</v>
      </c>
      <c r="C147" s="493"/>
      <c r="D147" s="493"/>
      <c r="E147" s="391" t="s">
        <v>197</v>
      </c>
      <c r="F147" s="495">
        <v>110</v>
      </c>
      <c r="G147" s="495">
        <v>110</v>
      </c>
      <c r="H147" s="495"/>
    </row>
    <row r="148" spans="1:8" ht="12" customHeight="1">
      <c r="A148" s="477" t="str">
        <f t="shared" si="3"/>
        <v>RA113008</v>
      </c>
      <c r="B148" s="382" t="s">
        <v>1290</v>
      </c>
      <c r="C148" s="493"/>
      <c r="D148" s="493"/>
      <c r="E148" s="391" t="s">
        <v>52</v>
      </c>
      <c r="F148" s="495">
        <v>110</v>
      </c>
      <c r="G148" s="495">
        <v>110</v>
      </c>
      <c r="H148" s="495"/>
    </row>
    <row r="149" spans="1:8" ht="12" customHeight="1">
      <c r="A149" s="477" t="str">
        <f t="shared" si="3"/>
        <v>RA113008</v>
      </c>
      <c r="B149" s="382" t="s">
        <v>53</v>
      </c>
      <c r="C149" s="493"/>
      <c r="D149" s="493"/>
      <c r="E149" s="391" t="s">
        <v>54</v>
      </c>
      <c r="F149" s="495">
        <v>10</v>
      </c>
      <c r="G149" s="495">
        <v>10</v>
      </c>
      <c r="H149" s="495"/>
    </row>
    <row r="150" spans="1:8" ht="12" customHeight="1">
      <c r="A150" s="477" t="str">
        <f t="shared" si="3"/>
        <v>RA113008</v>
      </c>
      <c r="B150" s="382" t="s">
        <v>55</v>
      </c>
      <c r="C150" s="493"/>
      <c r="D150" s="493"/>
      <c r="E150" s="391" t="s">
        <v>56</v>
      </c>
      <c r="F150" s="495">
        <v>130</v>
      </c>
      <c r="G150" s="495">
        <v>130</v>
      </c>
      <c r="H150" s="495"/>
    </row>
    <row r="151" spans="1:8" ht="12" customHeight="1">
      <c r="A151" s="477" t="str">
        <f t="shared" si="3"/>
        <v>RA113008</v>
      </c>
      <c r="B151" s="382" t="s">
        <v>1179</v>
      </c>
      <c r="C151" s="493"/>
      <c r="D151" s="493"/>
      <c r="E151" s="391" t="s">
        <v>1180</v>
      </c>
      <c r="F151" s="495">
        <v>10</v>
      </c>
      <c r="G151" s="495">
        <v>10</v>
      </c>
      <c r="H151" s="495"/>
    </row>
    <row r="152" spans="1:8" ht="12" customHeight="1">
      <c r="A152" s="477" t="str">
        <f t="shared" si="3"/>
        <v>RA113008</v>
      </c>
      <c r="B152" s="382" t="s">
        <v>57</v>
      </c>
      <c r="C152" s="493"/>
      <c r="D152" s="493"/>
      <c r="E152" s="391" t="s">
        <v>58</v>
      </c>
      <c r="F152" s="495">
        <v>10</v>
      </c>
      <c r="G152" s="495">
        <v>10</v>
      </c>
      <c r="H152" s="495"/>
    </row>
    <row r="153" spans="1:8" ht="12" customHeight="1">
      <c r="A153" s="477" t="str">
        <f t="shared" si="3"/>
        <v>RA113008</v>
      </c>
      <c r="B153" s="382" t="s">
        <v>59</v>
      </c>
      <c r="C153" s="493"/>
      <c r="D153" s="493"/>
      <c r="E153" s="391" t="s">
        <v>973</v>
      </c>
      <c r="F153" s="495">
        <v>10</v>
      </c>
      <c r="G153" s="495">
        <v>10</v>
      </c>
      <c r="H153" s="495"/>
    </row>
    <row r="154" spans="1:8" ht="12" customHeight="1">
      <c r="A154" s="477" t="str">
        <f t="shared" si="3"/>
        <v>RA113008</v>
      </c>
      <c r="B154" s="445" t="s">
        <v>1570</v>
      </c>
      <c r="C154" s="538"/>
      <c r="D154" s="538"/>
      <c r="E154" s="447" t="s">
        <v>1571</v>
      </c>
      <c r="F154" s="539">
        <v>10</v>
      </c>
      <c r="G154" s="539">
        <v>10</v>
      </c>
      <c r="H154" s="495"/>
    </row>
    <row r="155" spans="1:8" ht="12" customHeight="1">
      <c r="A155" s="477" t="str">
        <f t="shared" si="3"/>
        <v>RA113008</v>
      </c>
      <c r="B155" s="382" t="s">
        <v>1499</v>
      </c>
      <c r="C155" s="493"/>
      <c r="D155" s="493"/>
      <c r="E155" s="391" t="s">
        <v>925</v>
      </c>
      <c r="F155" s="495">
        <v>200120</v>
      </c>
      <c r="G155" s="495">
        <v>200120</v>
      </c>
      <c r="H155" s="495"/>
    </row>
    <row r="156" spans="1:8" ht="12" customHeight="1">
      <c r="A156" s="477" t="str">
        <f t="shared" si="3"/>
        <v>RA113008</v>
      </c>
      <c r="B156" s="382" t="s">
        <v>926</v>
      </c>
      <c r="C156" s="493"/>
      <c r="D156" s="493"/>
      <c r="E156" s="391" t="s">
        <v>927</v>
      </c>
      <c r="F156" s="495">
        <v>130</v>
      </c>
      <c r="G156" s="495">
        <v>130</v>
      </c>
      <c r="H156" s="495"/>
    </row>
    <row r="157" spans="1:8" ht="12" customHeight="1">
      <c r="A157" s="477" t="str">
        <f t="shared" si="3"/>
        <v>RA113008</v>
      </c>
      <c r="B157" s="382" t="s">
        <v>928</v>
      </c>
      <c r="C157" s="493"/>
      <c r="D157" s="493"/>
      <c r="E157" s="388" t="s">
        <v>929</v>
      </c>
      <c r="F157" s="495">
        <v>235</v>
      </c>
      <c r="G157" s="495">
        <v>235</v>
      </c>
      <c r="H157" s="495"/>
    </row>
    <row r="158" spans="1:8" ht="12" customHeight="1">
      <c r="A158" s="477" t="str">
        <f t="shared" si="3"/>
        <v>RA113008</v>
      </c>
      <c r="B158" s="382" t="s">
        <v>930</v>
      </c>
      <c r="C158" s="493"/>
      <c r="D158" s="493"/>
      <c r="E158" s="388" t="s">
        <v>471</v>
      </c>
      <c r="F158" s="495">
        <v>110</v>
      </c>
      <c r="G158" s="495">
        <v>110</v>
      </c>
      <c r="H158" s="495"/>
    </row>
    <row r="159" spans="1:8" ht="12" customHeight="1">
      <c r="A159" s="477" t="str">
        <f t="shared" si="3"/>
        <v>RA113008</v>
      </c>
      <c r="B159" s="382" t="s">
        <v>472</v>
      </c>
      <c r="C159" s="493"/>
      <c r="D159" s="493"/>
      <c r="E159" s="388" t="s">
        <v>540</v>
      </c>
      <c r="F159" s="495">
        <v>110</v>
      </c>
      <c r="G159" s="495">
        <v>110</v>
      </c>
      <c r="H159" s="495"/>
    </row>
    <row r="160" spans="1:8" ht="12" customHeight="1">
      <c r="A160" s="477" t="str">
        <f t="shared" si="3"/>
        <v>RA113008</v>
      </c>
      <c r="B160" s="382" t="s">
        <v>541</v>
      </c>
      <c r="C160" s="493"/>
      <c r="D160" s="493"/>
      <c r="E160" s="388" t="s">
        <v>474</v>
      </c>
      <c r="F160" s="495">
        <v>9110</v>
      </c>
      <c r="G160" s="495">
        <v>9110</v>
      </c>
      <c r="H160" s="495"/>
    </row>
    <row r="161" spans="1:8" ht="12" customHeight="1">
      <c r="A161" s="477" t="str">
        <f t="shared" si="3"/>
        <v>RA113008</v>
      </c>
      <c r="B161" s="382" t="s">
        <v>1085</v>
      </c>
      <c r="C161" s="493"/>
      <c r="D161" s="493"/>
      <c r="E161" s="388" t="s">
        <v>1086</v>
      </c>
      <c r="F161" s="495">
        <v>130</v>
      </c>
      <c r="G161" s="495">
        <v>130</v>
      </c>
      <c r="H161" s="495"/>
    </row>
    <row r="162" spans="1:8" ht="12" customHeight="1">
      <c r="A162" s="477" t="str">
        <f t="shared" si="3"/>
        <v>RA113008</v>
      </c>
      <c r="B162" s="382" t="s">
        <v>1087</v>
      </c>
      <c r="C162" s="493"/>
      <c r="D162" s="493"/>
      <c r="E162" s="388" t="s">
        <v>1088</v>
      </c>
      <c r="F162" s="495">
        <v>110</v>
      </c>
      <c r="G162" s="495">
        <v>110</v>
      </c>
      <c r="H162" s="495"/>
    </row>
    <row r="163" spans="1:8" ht="12" customHeight="1">
      <c r="A163" s="477" t="str">
        <f t="shared" si="3"/>
        <v>RA113008</v>
      </c>
      <c r="B163" s="382" t="s">
        <v>1089</v>
      </c>
      <c r="C163" s="493"/>
      <c r="D163" s="493"/>
      <c r="E163" s="388" t="s">
        <v>1090</v>
      </c>
      <c r="F163" s="495">
        <v>110</v>
      </c>
      <c r="G163" s="495">
        <v>110</v>
      </c>
      <c r="H163" s="495"/>
    </row>
    <row r="164" spans="1:8" ht="12" customHeight="1">
      <c r="A164" s="477" t="str">
        <f t="shared" si="3"/>
        <v>RA113008</v>
      </c>
      <c r="B164" s="382" t="s">
        <v>1091</v>
      </c>
      <c r="C164" s="493"/>
      <c r="D164" s="493"/>
      <c r="E164" s="388" t="s">
        <v>1092</v>
      </c>
      <c r="F164" s="495">
        <v>110</v>
      </c>
      <c r="G164" s="495">
        <v>110</v>
      </c>
      <c r="H164" s="495"/>
    </row>
    <row r="165" spans="1:8" ht="12" customHeight="1">
      <c r="A165" s="477" t="str">
        <f t="shared" si="3"/>
        <v>RA113008</v>
      </c>
      <c r="B165" s="382" t="s">
        <v>1093</v>
      </c>
      <c r="C165" s="493"/>
      <c r="D165" s="493"/>
      <c r="E165" s="388" t="s">
        <v>607</v>
      </c>
      <c r="F165" s="495">
        <v>6871501</v>
      </c>
      <c r="G165" s="495">
        <v>6871501</v>
      </c>
      <c r="H165" s="495"/>
    </row>
    <row r="166" spans="1:8" ht="12" customHeight="1">
      <c r="A166" s="477" t="str">
        <f t="shared" si="3"/>
        <v>RA113008</v>
      </c>
      <c r="B166" s="382" t="s">
        <v>608</v>
      </c>
      <c r="C166" s="493"/>
      <c r="D166" s="493"/>
      <c r="E166" s="388" t="s">
        <v>88</v>
      </c>
      <c r="F166" s="495">
        <v>34573</v>
      </c>
      <c r="G166" s="495">
        <v>34573</v>
      </c>
      <c r="H166" s="495"/>
    </row>
    <row r="167" spans="1:8" ht="12" customHeight="1">
      <c r="A167" s="477" t="str">
        <f t="shared" si="3"/>
        <v>RA113008</v>
      </c>
      <c r="B167" s="382" t="s">
        <v>89</v>
      </c>
      <c r="C167" s="493"/>
      <c r="D167" s="493"/>
      <c r="E167" s="388" t="s">
        <v>325</v>
      </c>
      <c r="F167" s="495">
        <v>120</v>
      </c>
      <c r="G167" s="495">
        <v>120</v>
      </c>
      <c r="H167" s="495"/>
    </row>
    <row r="168" spans="1:8" ht="12" customHeight="1">
      <c r="A168" s="477" t="str">
        <f t="shared" si="3"/>
        <v>RA113008</v>
      </c>
      <c r="B168" s="382" t="s">
        <v>326</v>
      </c>
      <c r="C168" s="493"/>
      <c r="D168" s="493"/>
      <c r="E168" s="388" t="s">
        <v>849</v>
      </c>
      <c r="F168" s="495">
        <v>206880</v>
      </c>
      <c r="G168" s="495">
        <v>206880</v>
      </c>
      <c r="H168" s="495"/>
    </row>
    <row r="169" spans="1:8" ht="12" customHeight="1">
      <c r="A169" s="477" t="str">
        <f t="shared" si="3"/>
        <v>RA113008</v>
      </c>
      <c r="B169" s="382" t="s">
        <v>1412</v>
      </c>
      <c r="C169" s="493"/>
      <c r="D169" s="493"/>
      <c r="E169" s="388" t="s">
        <v>127</v>
      </c>
      <c r="F169" s="495">
        <v>4140675</v>
      </c>
      <c r="G169" s="495">
        <f>4140675+3000000+2000000</f>
        <v>9140675</v>
      </c>
      <c r="H169" s="495"/>
    </row>
    <row r="170" spans="2:8" ht="12" customHeight="1">
      <c r="B170" s="382"/>
      <c r="C170" s="493"/>
      <c r="D170" s="493"/>
      <c r="E170" s="388"/>
      <c r="F170" s="495"/>
      <c r="G170" s="495"/>
      <c r="H170" s="495"/>
    </row>
    <row r="171" spans="2:8" ht="12" customHeight="1">
      <c r="B171" s="385" t="s">
        <v>1433</v>
      </c>
      <c r="C171" s="516" t="s">
        <v>1530</v>
      </c>
      <c r="D171" s="516" t="s">
        <v>1190</v>
      </c>
      <c r="E171" s="385" t="s">
        <v>160</v>
      </c>
      <c r="F171" s="496">
        <f>SUM(F172:F180)</f>
        <v>11981159</v>
      </c>
      <c r="G171" s="496">
        <f>SUM(G172:G180)</f>
        <v>11981159</v>
      </c>
      <c r="H171" s="496"/>
    </row>
    <row r="172" spans="2:8" ht="12" customHeight="1">
      <c r="B172" s="382" t="s">
        <v>1121</v>
      </c>
      <c r="C172" s="516"/>
      <c r="D172" s="516"/>
      <c r="E172" s="388" t="s">
        <v>1122</v>
      </c>
      <c r="F172" s="495">
        <v>786611</v>
      </c>
      <c r="G172" s="495">
        <v>786611</v>
      </c>
      <c r="H172" s="495"/>
    </row>
    <row r="173" spans="2:8" ht="12" customHeight="1">
      <c r="B173" s="382" t="s">
        <v>1123</v>
      </c>
      <c r="C173" s="516"/>
      <c r="D173" s="516"/>
      <c r="E173" s="388" t="s">
        <v>1124</v>
      </c>
      <c r="F173" s="495">
        <v>10835334</v>
      </c>
      <c r="G173" s="495">
        <v>10835334</v>
      </c>
      <c r="H173" s="495"/>
    </row>
    <row r="174" spans="2:8" ht="12" customHeight="1">
      <c r="B174" s="382" t="s">
        <v>1125</v>
      </c>
      <c r="C174" s="493"/>
      <c r="D174" s="493"/>
      <c r="E174" s="388" t="s">
        <v>1126</v>
      </c>
      <c r="F174" s="495">
        <v>247235</v>
      </c>
      <c r="G174" s="495">
        <v>247235</v>
      </c>
      <c r="H174" s="495"/>
    </row>
    <row r="175" spans="2:8" ht="12" customHeight="1">
      <c r="B175" s="382" t="s">
        <v>1127</v>
      </c>
      <c r="C175" s="493"/>
      <c r="D175" s="493"/>
      <c r="E175" s="388" t="s">
        <v>255</v>
      </c>
      <c r="F175" s="495">
        <v>105904</v>
      </c>
      <c r="G175" s="539">
        <f>105904-1500</f>
        <v>104404</v>
      </c>
      <c r="H175" s="495"/>
    </row>
    <row r="176" spans="2:8" ht="12" customHeight="1">
      <c r="B176" s="382" t="s">
        <v>986</v>
      </c>
      <c r="C176" s="493"/>
      <c r="D176" s="493"/>
      <c r="E176" s="388" t="s">
        <v>987</v>
      </c>
      <c r="F176" s="495">
        <v>0</v>
      </c>
      <c r="G176" s="539">
        <v>1500</v>
      </c>
      <c r="H176" s="495"/>
    </row>
    <row r="177" spans="2:8" ht="12" customHeight="1">
      <c r="B177" s="382" t="s">
        <v>988</v>
      </c>
      <c r="C177" s="493"/>
      <c r="D177" s="493"/>
      <c r="E177" s="388" t="s">
        <v>1247</v>
      </c>
      <c r="F177" s="495">
        <v>6070</v>
      </c>
      <c r="G177" s="495">
        <v>6070</v>
      </c>
      <c r="H177" s="495"/>
    </row>
    <row r="178" spans="2:8" ht="12" customHeight="1">
      <c r="B178" s="382" t="s">
        <v>326</v>
      </c>
      <c r="C178" s="493"/>
      <c r="D178" s="493"/>
      <c r="E178" s="391" t="s">
        <v>1141</v>
      </c>
      <c r="F178" s="495">
        <v>0</v>
      </c>
      <c r="G178" s="495">
        <v>0</v>
      </c>
      <c r="H178" s="495"/>
    </row>
    <row r="179" spans="2:8" ht="12" customHeight="1">
      <c r="B179" s="382" t="s">
        <v>999</v>
      </c>
      <c r="C179" s="493"/>
      <c r="D179" s="493"/>
      <c r="E179" s="388" t="s">
        <v>1142</v>
      </c>
      <c r="F179" s="495">
        <v>0</v>
      </c>
      <c r="G179" s="495">
        <v>0</v>
      </c>
      <c r="H179" s="495"/>
    </row>
    <row r="180" spans="2:8" ht="12" customHeight="1">
      <c r="B180" s="382" t="s">
        <v>1412</v>
      </c>
      <c r="C180" s="493"/>
      <c r="D180" s="493"/>
      <c r="E180" s="388" t="s">
        <v>127</v>
      </c>
      <c r="F180" s="495">
        <v>5</v>
      </c>
      <c r="G180" s="495">
        <v>5</v>
      </c>
      <c r="H180" s="495"/>
    </row>
    <row r="181" spans="2:8" ht="12" customHeight="1">
      <c r="B181" s="382"/>
      <c r="C181" s="493"/>
      <c r="D181" s="493"/>
      <c r="E181" s="388"/>
      <c r="F181" s="495"/>
      <c r="G181" s="495"/>
      <c r="H181" s="495"/>
    </row>
    <row r="182" spans="2:8" ht="12" customHeight="1">
      <c r="B182" s="385" t="s">
        <v>1433</v>
      </c>
      <c r="C182" s="385" t="s">
        <v>619</v>
      </c>
      <c r="D182" s="385" t="s">
        <v>213</v>
      </c>
      <c r="E182" s="381" t="s">
        <v>1143</v>
      </c>
      <c r="F182" s="496">
        <f>SUM(F183:F185)</f>
        <v>38852</v>
      </c>
      <c r="G182" s="496">
        <f>SUM(G183:G185)</f>
        <v>38852</v>
      </c>
      <c r="H182" s="496"/>
    </row>
    <row r="183" spans="2:8" ht="12" customHeight="1">
      <c r="B183" s="382" t="s">
        <v>1144</v>
      </c>
      <c r="C183" s="385"/>
      <c r="D183" s="385"/>
      <c r="E183" s="388" t="s">
        <v>13</v>
      </c>
      <c r="F183" s="495">
        <v>0</v>
      </c>
      <c r="G183" s="495">
        <v>0</v>
      </c>
      <c r="H183" s="495"/>
    </row>
    <row r="184" spans="2:8" ht="12" customHeight="1">
      <c r="B184" s="445" t="s">
        <v>43</v>
      </c>
      <c r="C184" s="538"/>
      <c r="D184" s="538"/>
      <c r="E184" s="450" t="s">
        <v>1247</v>
      </c>
      <c r="F184" s="539">
        <v>38837</v>
      </c>
      <c r="G184" s="539">
        <v>38837</v>
      </c>
      <c r="H184" s="495"/>
    </row>
    <row r="185" spans="2:18" ht="12" customHeight="1">
      <c r="B185" s="382" t="s">
        <v>1412</v>
      </c>
      <c r="C185" s="493"/>
      <c r="D185" s="493"/>
      <c r="E185" s="388" t="s">
        <v>127</v>
      </c>
      <c r="F185" s="495">
        <v>15</v>
      </c>
      <c r="G185" s="495">
        <v>15</v>
      </c>
      <c r="H185" s="495"/>
      <c r="R185" s="479">
        <v>10</v>
      </c>
    </row>
    <row r="186" spans="2:8" ht="12" customHeight="1">
      <c r="B186" s="382"/>
      <c r="C186" s="493"/>
      <c r="D186" s="493"/>
      <c r="E186" s="390"/>
      <c r="F186" s="495"/>
      <c r="G186" s="495"/>
      <c r="H186" s="495"/>
    </row>
    <row r="187" spans="2:8" ht="12" customHeight="1">
      <c r="B187" s="385" t="s">
        <v>1433</v>
      </c>
      <c r="C187" s="385" t="s">
        <v>639</v>
      </c>
      <c r="D187" s="385" t="s">
        <v>639</v>
      </c>
      <c r="E187" s="381" t="s">
        <v>14</v>
      </c>
      <c r="F187" s="495"/>
      <c r="G187" s="495"/>
      <c r="H187" s="495"/>
    </row>
    <row r="188" spans="2:8" ht="12" customHeight="1">
      <c r="B188" s="382" t="s">
        <v>1049</v>
      </c>
      <c r="C188" s="385"/>
      <c r="D188" s="385"/>
      <c r="E188" s="391" t="s">
        <v>850</v>
      </c>
      <c r="F188" s="495">
        <v>26149</v>
      </c>
      <c r="G188" s="495">
        <f>+'MLBSS_Receita e Despesa'!C276</f>
        <v>0</v>
      </c>
      <c r="H188" s="495"/>
    </row>
    <row r="189" spans="2:8" ht="12" customHeight="1">
      <c r="B189" s="382"/>
      <c r="C189" s="493"/>
      <c r="D189" s="493"/>
      <c r="E189" s="392"/>
      <c r="F189" s="495"/>
      <c r="G189" s="495"/>
      <c r="H189" s="495"/>
    </row>
    <row r="190" spans="2:8" ht="12" customHeight="1">
      <c r="B190" s="382"/>
      <c r="C190" s="493"/>
      <c r="D190" s="493"/>
      <c r="E190" s="392"/>
      <c r="F190" s="495"/>
      <c r="G190" s="495"/>
      <c r="H190" s="495"/>
    </row>
    <row r="191" spans="2:8" ht="12" customHeight="1">
      <c r="B191" s="382"/>
      <c r="C191" s="493"/>
      <c r="D191" s="493"/>
      <c r="E191" s="381" t="s">
        <v>611</v>
      </c>
      <c r="F191" s="495"/>
      <c r="G191" s="495"/>
      <c r="H191" s="495"/>
    </row>
    <row r="192" spans="2:8" ht="12" customHeight="1">
      <c r="B192" s="385"/>
      <c r="C192" s="385"/>
      <c r="D192" s="385"/>
      <c r="E192" s="390" t="s">
        <v>327</v>
      </c>
      <c r="F192" s="495"/>
      <c r="G192" s="495"/>
      <c r="H192" s="495"/>
    </row>
    <row r="193" spans="2:8" ht="12" customHeight="1">
      <c r="B193" s="385"/>
      <c r="C193" s="493"/>
      <c r="D193" s="493"/>
      <c r="E193" s="390"/>
      <c r="F193" s="495"/>
      <c r="G193" s="495"/>
      <c r="H193" s="495"/>
    </row>
    <row r="194" spans="2:8" ht="12" customHeight="1">
      <c r="B194" s="385" t="s">
        <v>1433</v>
      </c>
      <c r="C194" s="385" t="s">
        <v>639</v>
      </c>
      <c r="D194" s="385" t="s">
        <v>639</v>
      </c>
      <c r="E194" s="434" t="s">
        <v>575</v>
      </c>
      <c r="F194" s="496">
        <f>+F195+F197</f>
        <v>10448516</v>
      </c>
      <c r="G194" s="496">
        <f>+G195+G197</f>
        <v>7335936</v>
      </c>
      <c r="H194" s="496"/>
    </row>
    <row r="195" spans="2:8" ht="12" customHeight="1">
      <c r="B195" s="382"/>
      <c r="C195" s="493"/>
      <c r="D195" s="493"/>
      <c r="E195" s="381" t="s">
        <v>1282</v>
      </c>
      <c r="F195" s="495">
        <f>+F196</f>
        <v>3367928</v>
      </c>
      <c r="G195" s="495">
        <f>+G196</f>
        <v>7335936</v>
      </c>
      <c r="H195" s="495"/>
    </row>
    <row r="196" spans="2:8" ht="12" customHeight="1">
      <c r="B196" s="382" t="s">
        <v>189</v>
      </c>
      <c r="C196" s="385"/>
      <c r="D196" s="385"/>
      <c r="E196" s="391" t="s">
        <v>101</v>
      </c>
      <c r="F196" s="495">
        <v>3367928</v>
      </c>
      <c r="G196" s="549">
        <f>'MLBSS_Receita e Despesa'!C287</f>
        <v>7335936</v>
      </c>
      <c r="H196" s="495"/>
    </row>
    <row r="197" spans="2:8" ht="12" customHeight="1">
      <c r="B197" s="385"/>
      <c r="C197" s="493"/>
      <c r="D197" s="493"/>
      <c r="E197" s="381" t="s">
        <v>409</v>
      </c>
      <c r="F197" s="495">
        <f>SUM(F198:F200)</f>
        <v>7080588</v>
      </c>
      <c r="G197" s="495">
        <f>SUM(G198:G201)</f>
        <v>0</v>
      </c>
      <c r="H197" s="495"/>
    </row>
    <row r="198" spans="2:11" ht="12" customHeight="1">
      <c r="B198" s="382" t="s">
        <v>410</v>
      </c>
      <c r="C198" s="385"/>
      <c r="D198" s="385"/>
      <c r="E198" s="391" t="s">
        <v>850</v>
      </c>
      <c r="F198" s="495">
        <v>0</v>
      </c>
      <c r="G198" s="549">
        <f>'MLBSS_Receita e Despesa'!C284</f>
        <v>0</v>
      </c>
      <c r="H198" s="495"/>
      <c r="K198" s="520"/>
    </row>
    <row r="199" spans="2:8" ht="12" customHeight="1">
      <c r="B199" s="382" t="s">
        <v>410</v>
      </c>
      <c r="C199" s="385"/>
      <c r="D199" s="385"/>
      <c r="E199" s="391" t="s">
        <v>382</v>
      </c>
      <c r="F199" s="495">
        <v>3840631</v>
      </c>
      <c r="G199" s="549">
        <f>'MLBSS_Receita e Despesa'!C285</f>
        <v>0</v>
      </c>
      <c r="H199" s="495"/>
    </row>
    <row r="200" spans="2:8" ht="12" customHeight="1">
      <c r="B200" s="382" t="s">
        <v>410</v>
      </c>
      <c r="C200" s="385"/>
      <c r="D200" s="385"/>
      <c r="E200" s="391" t="s">
        <v>383</v>
      </c>
      <c r="F200" s="495">
        <v>3239957</v>
      </c>
      <c r="G200" s="549">
        <f>'MLBSS_Receita e Despesa'!C286</f>
        <v>0</v>
      </c>
      <c r="H200" s="495"/>
    </row>
    <row r="201" spans="2:8" ht="12" customHeight="1">
      <c r="B201" s="382" t="s">
        <v>189</v>
      </c>
      <c r="C201" s="385"/>
      <c r="D201" s="385"/>
      <c r="E201" s="391" t="s">
        <v>152</v>
      </c>
      <c r="F201" s="495"/>
      <c r="G201" s="495">
        <f>+'MLBSS_Receita e Despesa'!K288</f>
        <v>0</v>
      </c>
      <c r="H201" s="495"/>
    </row>
    <row r="202" spans="2:8" ht="12" customHeight="1">
      <c r="B202" s="385" t="s">
        <v>1433</v>
      </c>
      <c r="C202" s="385" t="s">
        <v>639</v>
      </c>
      <c r="D202" s="385" t="s">
        <v>639</v>
      </c>
      <c r="E202" s="434" t="s">
        <v>384</v>
      </c>
      <c r="F202" s="496">
        <f>+F203+F204</f>
        <v>10620881</v>
      </c>
      <c r="G202" s="496">
        <f>+G203+G204</f>
        <v>0</v>
      </c>
      <c r="H202" s="496"/>
    </row>
    <row r="203" spans="2:8" ht="12" customHeight="1">
      <c r="B203" s="382" t="s">
        <v>385</v>
      </c>
      <c r="C203" s="385"/>
      <c r="D203" s="385"/>
      <c r="E203" s="391" t="s">
        <v>382</v>
      </c>
      <c r="F203" s="495">
        <v>5760946</v>
      </c>
      <c r="G203" s="549">
        <f>'MLBSS_Receita e Despesa'!C290</f>
        <v>0</v>
      </c>
      <c r="H203" s="495"/>
    </row>
    <row r="204" spans="2:8" ht="12" customHeight="1">
      <c r="B204" s="382" t="s">
        <v>385</v>
      </c>
      <c r="C204" s="385"/>
      <c r="D204" s="385"/>
      <c r="E204" s="391" t="s">
        <v>383</v>
      </c>
      <c r="F204" s="495">
        <v>4859935</v>
      </c>
      <c r="G204" s="549">
        <f>'MLBSS_Receita e Despesa'!C291</f>
        <v>0</v>
      </c>
      <c r="H204" s="495"/>
    </row>
    <row r="205" spans="2:8" ht="12" customHeight="1">
      <c r="B205" s="382"/>
      <c r="C205" s="385"/>
      <c r="D205" s="385"/>
      <c r="E205" s="434" t="s">
        <v>154</v>
      </c>
      <c r="F205" s="495"/>
      <c r="G205" s="555">
        <f>+G206</f>
        <v>0</v>
      </c>
      <c r="H205" s="495"/>
    </row>
    <row r="206" spans="2:8" ht="12" customHeight="1">
      <c r="B206" s="382" t="s">
        <v>1000</v>
      </c>
      <c r="C206" s="385"/>
      <c r="D206" s="385"/>
      <c r="E206" s="391" t="s">
        <v>152</v>
      </c>
      <c r="F206" s="495"/>
      <c r="G206" s="549">
        <f>+'MLBSS_Receita e Despesa'!K293</f>
        <v>0</v>
      </c>
      <c r="H206" s="495"/>
    </row>
    <row r="207" spans="2:8" ht="12" customHeight="1">
      <c r="B207" s="382"/>
      <c r="C207" s="493"/>
      <c r="D207" s="493"/>
      <c r="E207" s="420"/>
      <c r="F207" s="495"/>
      <c r="G207" s="495"/>
      <c r="H207" s="495"/>
    </row>
    <row r="208" spans="2:8" ht="12" customHeight="1">
      <c r="B208" s="385" t="s">
        <v>1433</v>
      </c>
      <c r="C208" s="385" t="s">
        <v>1546</v>
      </c>
      <c r="D208" s="385" t="s">
        <v>828</v>
      </c>
      <c r="E208" s="386" t="s">
        <v>377</v>
      </c>
      <c r="F208" s="495"/>
      <c r="G208" s="495"/>
      <c r="H208" s="495"/>
    </row>
    <row r="209" spans="1:8" ht="12" customHeight="1">
      <c r="A209" s="477" t="str">
        <f>D208</f>
        <v>RA123001</v>
      </c>
      <c r="B209" s="382" t="s">
        <v>1547</v>
      </c>
      <c r="C209" s="493"/>
      <c r="D209" s="493"/>
      <c r="E209" s="391" t="s">
        <v>377</v>
      </c>
      <c r="F209" s="495">
        <v>1000</v>
      </c>
      <c r="G209" s="495">
        <f>+'MLBSS_Receita e Despesa'!C297</f>
        <v>0</v>
      </c>
      <c r="H209" s="495"/>
    </row>
    <row r="210" spans="2:8" ht="12" customHeight="1">
      <c r="B210" s="382"/>
      <c r="C210" s="493"/>
      <c r="D210" s="493"/>
      <c r="E210" s="391"/>
      <c r="F210" s="495"/>
      <c r="G210" s="495"/>
      <c r="H210" s="495"/>
    </row>
    <row r="211" spans="2:8" ht="12" customHeight="1">
      <c r="B211" s="385" t="s">
        <v>1433</v>
      </c>
      <c r="C211" s="385" t="s">
        <v>1548</v>
      </c>
      <c r="D211" s="385" t="s">
        <v>827</v>
      </c>
      <c r="E211" s="385" t="s">
        <v>308</v>
      </c>
      <c r="F211" s="495"/>
      <c r="G211" s="495"/>
      <c r="H211" s="495"/>
    </row>
    <row r="212" spans="1:8" ht="12" customHeight="1">
      <c r="A212" s="477" t="str">
        <f>D211</f>
        <v>RA123002</v>
      </c>
      <c r="B212" s="382" t="s">
        <v>1549</v>
      </c>
      <c r="C212" s="493"/>
      <c r="D212" s="493"/>
      <c r="E212" s="420"/>
      <c r="F212" s="495">
        <v>120</v>
      </c>
      <c r="G212" s="495">
        <f>+'MLBSS_Receita e Despesa'!C299</f>
        <v>110</v>
      </c>
      <c r="H212" s="495"/>
    </row>
    <row r="213" spans="2:8" ht="12" customHeight="1">
      <c r="B213" s="385"/>
      <c r="C213" s="385"/>
      <c r="D213" s="385"/>
      <c r="E213" s="391"/>
      <c r="F213" s="495"/>
      <c r="G213" s="495"/>
      <c r="H213" s="495"/>
    </row>
    <row r="214" spans="2:8" ht="12" customHeight="1">
      <c r="B214" s="385" t="s">
        <v>1433</v>
      </c>
      <c r="C214" s="385" t="s">
        <v>619</v>
      </c>
      <c r="D214" s="385" t="s">
        <v>212</v>
      </c>
      <c r="E214" s="386" t="s">
        <v>167</v>
      </c>
      <c r="F214" s="496">
        <f>+F215+F216</f>
        <v>1170324</v>
      </c>
      <c r="G214" s="496">
        <f>+G215+G216</f>
        <v>1170324</v>
      </c>
      <c r="H214" s="496"/>
    </row>
    <row r="215" spans="2:8" ht="12" customHeight="1">
      <c r="B215" s="382" t="s">
        <v>168</v>
      </c>
      <c r="C215" s="385"/>
      <c r="D215" s="385"/>
      <c r="E215" s="388" t="s">
        <v>13</v>
      </c>
      <c r="F215" s="495">
        <v>0</v>
      </c>
      <c r="G215" s="495">
        <v>0</v>
      </c>
      <c r="H215" s="495"/>
    </row>
    <row r="216" spans="2:8" ht="12" customHeight="1">
      <c r="B216" s="445" t="s">
        <v>1000</v>
      </c>
      <c r="C216" s="538"/>
      <c r="D216" s="538"/>
      <c r="E216" s="450" t="s">
        <v>169</v>
      </c>
      <c r="F216" s="539">
        <v>1170324</v>
      </c>
      <c r="G216" s="539">
        <v>1170324</v>
      </c>
      <c r="H216" s="495"/>
    </row>
    <row r="217" spans="2:8" ht="12" customHeight="1">
      <c r="B217" s="382"/>
      <c r="C217" s="493"/>
      <c r="D217" s="493"/>
      <c r="E217" s="388"/>
      <c r="F217" s="495"/>
      <c r="G217" s="495"/>
      <c r="H217" s="495"/>
    </row>
    <row r="218" spans="2:8" ht="12" customHeight="1">
      <c r="B218" s="382"/>
      <c r="C218" s="493"/>
      <c r="D218" s="493"/>
      <c r="E218" s="388"/>
      <c r="F218" s="495"/>
      <c r="G218" s="495"/>
      <c r="H218" s="495"/>
    </row>
    <row r="219" spans="2:8" s="477" customFormat="1" ht="12" customHeight="1">
      <c r="B219" s="401"/>
      <c r="C219" s="502"/>
      <c r="D219" s="502"/>
      <c r="E219" s="400" t="s">
        <v>920</v>
      </c>
      <c r="F219" s="503">
        <f>+F106+F109+F111+F123+F126+F129+F132+F134+F145+F171+F182+F188+F194+F202+F209+F212+F214</f>
        <v>321621165</v>
      </c>
      <c r="G219" s="503">
        <f>+G106+G109+G111+G123+G126+G129+G132+G134+G145+G171+G182+G188+G194+G202+G205+G209+G212+G214</f>
        <v>1663440659</v>
      </c>
      <c r="H219" s="503"/>
    </row>
    <row r="220" spans="1:11" s="484" customFormat="1" ht="12" customHeight="1">
      <c r="A220" s="482"/>
      <c r="B220" s="369" t="s">
        <v>656</v>
      </c>
      <c r="C220" s="504"/>
      <c r="D220" s="504"/>
      <c r="E220" s="369"/>
      <c r="F220" s="505"/>
      <c r="G220" s="535">
        <f>+'MLBSS_Receita e Despesa'!C279+'MLBSS_Receita e Despesa'!C242</f>
        <v>1652139003</v>
      </c>
      <c r="H220" s="505"/>
      <c r="K220" s="556">
        <f>+G219-G220</f>
        <v>11301656</v>
      </c>
    </row>
    <row r="221" spans="1:8" s="484" customFormat="1" ht="12" customHeight="1">
      <c r="A221" s="482"/>
      <c r="B221" s="369" t="s">
        <v>534</v>
      </c>
      <c r="C221" s="369"/>
      <c r="D221" s="369"/>
      <c r="E221" s="369"/>
      <c r="F221" s="505"/>
      <c r="G221" s="505"/>
      <c r="H221" s="505"/>
    </row>
    <row r="222" spans="1:8" s="484" customFormat="1" ht="12" customHeight="1">
      <c r="A222" s="482"/>
      <c r="B222" s="369" t="s">
        <v>1101</v>
      </c>
      <c r="C222" s="369"/>
      <c r="D222" s="369"/>
      <c r="E222" s="369"/>
      <c r="F222" s="505"/>
      <c r="G222" s="505"/>
      <c r="H222" s="505"/>
    </row>
    <row r="223" spans="2:8" ht="12" customHeight="1">
      <c r="B223" s="369"/>
      <c r="C223" s="507"/>
      <c r="D223" s="507"/>
      <c r="E223" s="369"/>
      <c r="F223" s="508"/>
      <c r="G223" s="508"/>
      <c r="H223" s="508"/>
    </row>
    <row r="224" spans="2:8" ht="12" customHeight="1">
      <c r="B224" s="373" t="s">
        <v>1360</v>
      </c>
      <c r="C224" s="374"/>
      <c r="D224" s="374"/>
      <c r="E224" s="373"/>
      <c r="F224" s="373" t="s">
        <v>1361</v>
      </c>
      <c r="G224" s="373" t="s">
        <v>1361</v>
      </c>
      <c r="H224" s="373"/>
    </row>
    <row r="225" spans="2:8" ht="12" customHeight="1">
      <c r="B225" s="375" t="s">
        <v>1362</v>
      </c>
      <c r="C225" s="376" t="s">
        <v>1363</v>
      </c>
      <c r="D225" s="376" t="s">
        <v>831</v>
      </c>
      <c r="E225" s="375" t="s">
        <v>1080</v>
      </c>
      <c r="F225" s="375">
        <v>2008</v>
      </c>
      <c r="G225" s="375">
        <v>2008</v>
      </c>
      <c r="H225" s="375" t="s">
        <v>1496</v>
      </c>
    </row>
    <row r="226" spans="2:8" ht="12" customHeight="1">
      <c r="B226" s="377" t="s">
        <v>832</v>
      </c>
      <c r="C226" s="378"/>
      <c r="D226" s="378"/>
      <c r="E226" s="486"/>
      <c r="F226" s="377" t="s">
        <v>1098</v>
      </c>
      <c r="G226" s="377" t="s">
        <v>833</v>
      </c>
      <c r="H226" s="377"/>
    </row>
    <row r="227" spans="2:8" ht="12" customHeight="1">
      <c r="B227" s="509"/>
      <c r="C227" s="488"/>
      <c r="D227" s="488"/>
      <c r="E227" s="509" t="s">
        <v>1009</v>
      </c>
      <c r="F227" s="496">
        <v>117850261</v>
      </c>
      <c r="G227" s="496">
        <f>+'MLBSS_Receita e Despesa'!C350</f>
        <v>1445238541.115</v>
      </c>
      <c r="H227" s="496"/>
    </row>
    <row r="228" spans="2:8" ht="12" customHeight="1">
      <c r="B228" s="379"/>
      <c r="C228" s="491"/>
      <c r="D228" s="491"/>
      <c r="E228" s="379"/>
      <c r="F228" s="495"/>
      <c r="G228" s="495"/>
      <c r="H228" s="495"/>
    </row>
    <row r="229" spans="2:8" ht="12" customHeight="1">
      <c r="B229" s="382"/>
      <c r="C229" s="493"/>
      <c r="D229" s="493"/>
      <c r="E229" s="381" t="s">
        <v>130</v>
      </c>
      <c r="F229" s="495"/>
      <c r="G229" s="495"/>
      <c r="H229" s="495"/>
    </row>
    <row r="230" spans="2:8" ht="12" customHeight="1">
      <c r="B230" s="382"/>
      <c r="C230" s="493"/>
      <c r="D230" s="493"/>
      <c r="E230" s="382"/>
      <c r="F230" s="495"/>
      <c r="G230" s="495"/>
      <c r="H230" s="495"/>
    </row>
    <row r="231" spans="2:10" ht="12" customHeight="1">
      <c r="B231" s="530" t="s">
        <v>1433</v>
      </c>
      <c r="C231" s="530" t="s">
        <v>209</v>
      </c>
      <c r="D231" s="530" t="s">
        <v>628</v>
      </c>
      <c r="E231" s="531" t="s">
        <v>339</v>
      </c>
      <c r="F231" s="528">
        <f>SUM(F232:F234)</f>
        <v>13287636839</v>
      </c>
      <c r="G231" s="528">
        <f>SUM(G232:G234)</f>
        <v>12539252302</v>
      </c>
      <c r="H231" s="496"/>
      <c r="J231" s="560">
        <f>+(G231-G234)*0.11</f>
        <v>1379199433.3700001</v>
      </c>
    </row>
    <row r="232" spans="1:10" ht="12" customHeight="1">
      <c r="A232" s="477" t="str">
        <f>D231</f>
        <v>RA211001</v>
      </c>
      <c r="B232" s="532" t="s">
        <v>102</v>
      </c>
      <c r="C232" s="530"/>
      <c r="D232" s="530"/>
      <c r="E232" s="533" t="s">
        <v>535</v>
      </c>
      <c r="F232" s="529">
        <v>5436754760</v>
      </c>
      <c r="G232" s="529">
        <v>1379199433</v>
      </c>
      <c r="H232" s="495"/>
      <c r="J232" s="560">
        <f>+(G231-G234)*0.89</f>
        <v>11158977233.630001</v>
      </c>
    </row>
    <row r="233" spans="1:8" ht="12" customHeight="1">
      <c r="A233" s="477" t="str">
        <f>D231</f>
        <v>RA211001</v>
      </c>
      <c r="B233" s="532" t="s">
        <v>103</v>
      </c>
      <c r="C233" s="530"/>
      <c r="D233" s="530"/>
      <c r="E233" s="533" t="s">
        <v>536</v>
      </c>
      <c r="F233" s="529">
        <v>7849806444</v>
      </c>
      <c r="G233" s="529">
        <v>11158977234</v>
      </c>
      <c r="H233" s="495"/>
    </row>
    <row r="234" spans="1:8" ht="12" customHeight="1">
      <c r="A234" s="477" t="str">
        <f>D231</f>
        <v>RA211001</v>
      </c>
      <c r="B234" s="532" t="s">
        <v>1069</v>
      </c>
      <c r="C234" s="530"/>
      <c r="D234" s="530"/>
      <c r="E234" s="533" t="s">
        <v>697</v>
      </c>
      <c r="F234" s="529">
        <v>1075635</v>
      </c>
      <c r="G234" s="529">
        <v>1075635</v>
      </c>
      <c r="H234" s="495"/>
    </row>
    <row r="235" spans="2:8" ht="12" customHeight="1">
      <c r="B235" s="382"/>
      <c r="C235" s="493"/>
      <c r="D235" s="493"/>
      <c r="E235" s="386"/>
      <c r="F235" s="495"/>
      <c r="G235" s="495"/>
      <c r="H235" s="495"/>
    </row>
    <row r="236" spans="2:8" ht="12" customHeight="1">
      <c r="B236" s="385" t="s">
        <v>1433</v>
      </c>
      <c r="C236" s="385" t="s">
        <v>104</v>
      </c>
      <c r="D236" s="385" t="s">
        <v>629</v>
      </c>
      <c r="E236" s="385" t="s">
        <v>38</v>
      </c>
      <c r="F236" s="495"/>
      <c r="G236" s="495"/>
      <c r="H236" s="495"/>
    </row>
    <row r="237" spans="1:8" ht="12" customHeight="1">
      <c r="A237" s="477" t="str">
        <f>D236</f>
        <v>RA211002</v>
      </c>
      <c r="B237" s="382" t="s">
        <v>102</v>
      </c>
      <c r="C237" s="385"/>
      <c r="D237" s="385"/>
      <c r="E237" s="409" t="s">
        <v>869</v>
      </c>
      <c r="F237" s="495">
        <v>114603878</v>
      </c>
      <c r="G237" s="495"/>
      <c r="H237" s="495"/>
    </row>
    <row r="238" spans="2:8" ht="12" customHeight="1">
      <c r="B238" s="382"/>
      <c r="C238" s="493"/>
      <c r="D238" s="493"/>
      <c r="E238" s="386"/>
      <c r="F238" s="495"/>
      <c r="G238" s="495"/>
      <c r="H238" s="495"/>
    </row>
    <row r="239" spans="2:8" ht="12" customHeight="1">
      <c r="B239" s="385" t="s">
        <v>1433</v>
      </c>
      <c r="C239" s="385" t="s">
        <v>870</v>
      </c>
      <c r="D239" s="385" t="s">
        <v>458</v>
      </c>
      <c r="E239" s="386" t="s">
        <v>24</v>
      </c>
      <c r="F239" s="496">
        <f>SUM(F240:F253)</f>
        <v>43109719.99728062</v>
      </c>
      <c r="G239" s="496">
        <f>SUM(G240:G253)</f>
        <v>50109720</v>
      </c>
      <c r="H239" s="496">
        <f>'MLBSS_Receita e Despesa'!C361-G239</f>
        <v>-5059720</v>
      </c>
    </row>
    <row r="240" spans="1:8" ht="12" customHeight="1">
      <c r="A240" s="477" t="str">
        <f aca="true" t="shared" si="4" ref="A240:A253">$D$239</f>
        <v>RA211003</v>
      </c>
      <c r="B240" s="382" t="s">
        <v>1442</v>
      </c>
      <c r="C240" s="493"/>
      <c r="D240" s="493"/>
      <c r="E240" s="388" t="s">
        <v>868</v>
      </c>
      <c r="F240" s="495">
        <v>0</v>
      </c>
      <c r="G240" s="495">
        <v>0</v>
      </c>
      <c r="H240" s="495"/>
    </row>
    <row r="241" spans="1:8" ht="12" customHeight="1">
      <c r="A241" s="477" t="str">
        <f t="shared" si="4"/>
        <v>RA211003</v>
      </c>
      <c r="B241" s="382" t="s">
        <v>776</v>
      </c>
      <c r="C241" s="493"/>
      <c r="D241" s="493"/>
      <c r="E241" s="388" t="s">
        <v>777</v>
      </c>
      <c r="F241" s="495">
        <v>0</v>
      </c>
      <c r="G241" s="495">
        <v>0</v>
      </c>
      <c r="H241" s="495"/>
    </row>
    <row r="242" spans="1:8" ht="12" customHeight="1">
      <c r="A242" s="477" t="str">
        <f t="shared" si="4"/>
        <v>RA211003</v>
      </c>
      <c r="B242" s="382" t="s">
        <v>750</v>
      </c>
      <c r="C242" s="493"/>
      <c r="D242" s="493"/>
      <c r="E242" s="388" t="s">
        <v>1598</v>
      </c>
      <c r="F242" s="495">
        <v>39137462</v>
      </c>
      <c r="G242" s="495">
        <f>39137462-10000000+27000000-10000000</f>
        <v>46137462</v>
      </c>
      <c r="H242" s="495"/>
    </row>
    <row r="243" spans="1:8" ht="12" customHeight="1">
      <c r="A243" s="477" t="str">
        <f t="shared" si="4"/>
        <v>RA211003</v>
      </c>
      <c r="B243" s="382" t="s">
        <v>96</v>
      </c>
      <c r="C243" s="493"/>
      <c r="D243" s="493"/>
      <c r="E243" s="388" t="s">
        <v>33</v>
      </c>
      <c r="F243" s="495">
        <v>141808</v>
      </c>
      <c r="G243" s="495">
        <v>141808</v>
      </c>
      <c r="H243" s="495"/>
    </row>
    <row r="244" spans="1:8" ht="12" customHeight="1">
      <c r="A244" s="477" t="str">
        <f t="shared" si="4"/>
        <v>RA211003</v>
      </c>
      <c r="B244" s="382" t="s">
        <v>110</v>
      </c>
      <c r="C244" s="493"/>
      <c r="D244" s="493"/>
      <c r="E244" s="388" t="s">
        <v>754</v>
      </c>
      <c r="F244" s="495">
        <v>0</v>
      </c>
      <c r="G244" s="495">
        <v>0</v>
      </c>
      <c r="H244" s="495"/>
    </row>
    <row r="245" spans="1:8" ht="12" customHeight="1">
      <c r="A245" s="477" t="str">
        <f t="shared" si="4"/>
        <v>RA211003</v>
      </c>
      <c r="B245" s="382" t="s">
        <v>755</v>
      </c>
      <c r="C245" s="493"/>
      <c r="D245" s="493"/>
      <c r="E245" s="388" t="s">
        <v>756</v>
      </c>
      <c r="F245" s="495">
        <v>30000</v>
      </c>
      <c r="G245" s="495">
        <v>30000</v>
      </c>
      <c r="H245" s="495"/>
    </row>
    <row r="246" spans="1:8" ht="12" customHeight="1">
      <c r="A246" s="477" t="str">
        <f t="shared" si="4"/>
        <v>RA211003</v>
      </c>
      <c r="B246" s="382" t="s">
        <v>757</v>
      </c>
      <c r="C246" s="493"/>
      <c r="D246" s="493"/>
      <c r="E246" s="388" t="s">
        <v>762</v>
      </c>
      <c r="F246" s="495">
        <v>0</v>
      </c>
      <c r="G246" s="495">
        <v>0</v>
      </c>
      <c r="H246" s="495"/>
    </row>
    <row r="247" spans="1:8" ht="12" customHeight="1">
      <c r="A247" s="477" t="str">
        <f t="shared" si="4"/>
        <v>RA211003</v>
      </c>
      <c r="B247" s="382" t="s">
        <v>763</v>
      </c>
      <c r="C247" s="493"/>
      <c r="D247" s="493"/>
      <c r="E247" s="388" t="s">
        <v>1320</v>
      </c>
      <c r="F247" s="495">
        <v>0</v>
      </c>
      <c r="G247" s="495">
        <v>0</v>
      </c>
      <c r="H247" s="495"/>
    </row>
    <row r="248" spans="1:8" ht="12" customHeight="1">
      <c r="A248" s="477" t="str">
        <f t="shared" si="4"/>
        <v>RA211003</v>
      </c>
      <c r="B248" s="382" t="s">
        <v>252</v>
      </c>
      <c r="C248" s="493"/>
      <c r="D248" s="493"/>
      <c r="E248" s="388" t="s">
        <v>1523</v>
      </c>
      <c r="F248" s="495">
        <v>0</v>
      </c>
      <c r="G248" s="495">
        <v>0</v>
      </c>
      <c r="H248" s="495"/>
    </row>
    <row r="249" spans="1:8" ht="12" customHeight="1">
      <c r="A249" s="477" t="str">
        <f t="shared" si="4"/>
        <v>RA211003</v>
      </c>
      <c r="B249" s="382" t="s">
        <v>253</v>
      </c>
      <c r="C249" s="493"/>
      <c r="D249" s="493"/>
      <c r="E249" s="388" t="s">
        <v>1038</v>
      </c>
      <c r="F249" s="495">
        <v>0</v>
      </c>
      <c r="G249" s="495">
        <v>0</v>
      </c>
      <c r="H249" s="495"/>
    </row>
    <row r="250" spans="1:8" ht="12" customHeight="1">
      <c r="A250" s="477" t="str">
        <f t="shared" si="4"/>
        <v>RA211003</v>
      </c>
      <c r="B250" s="382" t="s">
        <v>1039</v>
      </c>
      <c r="C250" s="493"/>
      <c r="D250" s="493"/>
      <c r="E250" s="388" t="s">
        <v>438</v>
      </c>
      <c r="F250" s="495">
        <v>0</v>
      </c>
      <c r="G250" s="495">
        <v>0</v>
      </c>
      <c r="H250" s="495"/>
    </row>
    <row r="251" spans="1:8" ht="12" customHeight="1">
      <c r="A251" s="477" t="str">
        <f t="shared" si="4"/>
        <v>RA211003</v>
      </c>
      <c r="B251" s="382" t="s">
        <v>439</v>
      </c>
      <c r="C251" s="493"/>
      <c r="D251" s="493"/>
      <c r="E251" s="388" t="s">
        <v>1238</v>
      </c>
      <c r="F251" s="495">
        <v>1259087.99728062</v>
      </c>
      <c r="G251" s="495">
        <v>1259088</v>
      </c>
      <c r="H251" s="495"/>
    </row>
    <row r="252" spans="1:8" ht="12" customHeight="1">
      <c r="A252" s="477" t="str">
        <f t="shared" si="4"/>
        <v>RA211003</v>
      </c>
      <c r="B252" s="382" t="s">
        <v>41</v>
      </c>
      <c r="C252" s="493"/>
      <c r="D252" s="493"/>
      <c r="E252" s="388" t="s">
        <v>782</v>
      </c>
      <c r="F252" s="495">
        <v>2541362</v>
      </c>
      <c r="G252" s="495">
        <v>2541362</v>
      </c>
      <c r="H252" s="495"/>
    </row>
    <row r="253" spans="1:8" ht="12" customHeight="1">
      <c r="A253" s="477" t="str">
        <f t="shared" si="4"/>
        <v>RA211003</v>
      </c>
      <c r="B253" s="382" t="s">
        <v>783</v>
      </c>
      <c r="C253" s="493"/>
      <c r="D253" s="493"/>
      <c r="E253" s="388" t="s">
        <v>1451</v>
      </c>
      <c r="F253" s="495">
        <v>0</v>
      </c>
      <c r="G253" s="495">
        <v>0</v>
      </c>
      <c r="H253" s="495"/>
    </row>
    <row r="254" spans="2:8" ht="12" customHeight="1">
      <c r="B254" s="382"/>
      <c r="C254" s="493"/>
      <c r="D254" s="493"/>
      <c r="E254" s="394"/>
      <c r="F254" s="495"/>
      <c r="G254" s="495"/>
      <c r="H254" s="495"/>
    </row>
    <row r="255" spans="2:11" ht="12" customHeight="1">
      <c r="B255" s="385" t="s">
        <v>1433</v>
      </c>
      <c r="C255" s="385" t="s">
        <v>1452</v>
      </c>
      <c r="D255" s="385" t="s">
        <v>1453</v>
      </c>
      <c r="E255" s="386" t="s">
        <v>196</v>
      </c>
      <c r="F255" s="496">
        <f>SUM(F256:F279)</f>
        <v>149905499</v>
      </c>
      <c r="G255" s="537">
        <f>SUM(G256:G279)</f>
        <v>195186329</v>
      </c>
      <c r="H255" s="496">
        <f>'MLBSS_Receita e Despesa'!C364-G255-G281</f>
        <v>36596508</v>
      </c>
      <c r="K255" s="520">
        <f>G255+G281</f>
        <v>195405664</v>
      </c>
    </row>
    <row r="256" spans="1:8" ht="12" customHeight="1">
      <c r="A256" s="477" t="str">
        <f aca="true" t="shared" si="5" ref="A256:A279">$D$255</f>
        <v>RA211004</v>
      </c>
      <c r="B256" s="382" t="s">
        <v>545</v>
      </c>
      <c r="C256" s="493"/>
      <c r="D256" s="493"/>
      <c r="E256" s="391" t="s">
        <v>546</v>
      </c>
      <c r="F256" s="495">
        <v>1529754</v>
      </c>
      <c r="G256" s="495">
        <v>1529754</v>
      </c>
      <c r="H256" s="495"/>
    </row>
    <row r="257" spans="1:8" ht="12" customHeight="1">
      <c r="A257" s="477" t="str">
        <f t="shared" si="5"/>
        <v>RA211004</v>
      </c>
      <c r="B257" s="382" t="s">
        <v>1465</v>
      </c>
      <c r="C257" s="493"/>
      <c r="D257" s="493"/>
      <c r="E257" s="391" t="s">
        <v>197</v>
      </c>
      <c r="F257" s="495">
        <v>1000</v>
      </c>
      <c r="G257" s="495">
        <v>1000</v>
      </c>
      <c r="H257" s="495"/>
    </row>
    <row r="258" spans="1:8" ht="12" customHeight="1">
      <c r="A258" s="477" t="str">
        <f t="shared" si="5"/>
        <v>RA211004</v>
      </c>
      <c r="B258" s="382" t="s">
        <v>1290</v>
      </c>
      <c r="C258" s="493"/>
      <c r="D258" s="493"/>
      <c r="E258" s="391" t="s">
        <v>52</v>
      </c>
      <c r="F258" s="495">
        <v>1000</v>
      </c>
      <c r="G258" s="495">
        <v>1000</v>
      </c>
      <c r="H258" s="495"/>
    </row>
    <row r="259" spans="1:8" ht="12" customHeight="1">
      <c r="A259" s="477" t="str">
        <f t="shared" si="5"/>
        <v>RA211004</v>
      </c>
      <c r="B259" s="382" t="s">
        <v>53</v>
      </c>
      <c r="C259" s="493"/>
      <c r="D259" s="493"/>
      <c r="E259" s="391" t="s">
        <v>54</v>
      </c>
      <c r="F259" s="495">
        <v>1000</v>
      </c>
      <c r="G259" s="495">
        <v>1000</v>
      </c>
      <c r="H259" s="495"/>
    </row>
    <row r="260" spans="1:8" ht="12" customHeight="1">
      <c r="A260" s="477" t="str">
        <f t="shared" si="5"/>
        <v>RA211004</v>
      </c>
      <c r="B260" s="382" t="s">
        <v>55</v>
      </c>
      <c r="C260" s="493"/>
      <c r="D260" s="493"/>
      <c r="E260" s="391" t="s">
        <v>56</v>
      </c>
      <c r="F260" s="495">
        <v>10000</v>
      </c>
      <c r="G260" s="495">
        <v>10000</v>
      </c>
      <c r="H260" s="495"/>
    </row>
    <row r="261" spans="1:8" ht="12" customHeight="1">
      <c r="A261" s="477" t="str">
        <f t="shared" si="5"/>
        <v>RA211004</v>
      </c>
      <c r="B261" s="382" t="s">
        <v>1179</v>
      </c>
      <c r="C261" s="493"/>
      <c r="D261" s="493"/>
      <c r="E261" s="391" t="s">
        <v>1180</v>
      </c>
      <c r="F261" s="495">
        <v>47340224</v>
      </c>
      <c r="G261" s="495">
        <v>47340224</v>
      </c>
      <c r="H261" s="495"/>
    </row>
    <row r="262" spans="1:8" ht="12" customHeight="1">
      <c r="A262" s="477" t="str">
        <f t="shared" si="5"/>
        <v>RA211004</v>
      </c>
      <c r="B262" s="382" t="s">
        <v>57</v>
      </c>
      <c r="C262" s="493"/>
      <c r="D262" s="493"/>
      <c r="E262" s="391" t="s">
        <v>58</v>
      </c>
      <c r="F262" s="495">
        <v>14637</v>
      </c>
      <c r="G262" s="495">
        <v>14637</v>
      </c>
      <c r="H262" s="495"/>
    </row>
    <row r="263" spans="1:8" ht="12" customHeight="1">
      <c r="A263" s="477" t="str">
        <f t="shared" si="5"/>
        <v>RA211004</v>
      </c>
      <c r="B263" s="382" t="s">
        <v>59</v>
      </c>
      <c r="C263" s="493"/>
      <c r="D263" s="493"/>
      <c r="E263" s="391" t="s">
        <v>973</v>
      </c>
      <c r="F263" s="495">
        <v>268813</v>
      </c>
      <c r="G263" s="495">
        <v>268813</v>
      </c>
      <c r="H263" s="495"/>
    </row>
    <row r="264" spans="1:8" ht="12" customHeight="1">
      <c r="A264" s="477" t="str">
        <f t="shared" si="5"/>
        <v>RA211004</v>
      </c>
      <c r="B264" s="382" t="s">
        <v>1570</v>
      </c>
      <c r="C264" s="493"/>
      <c r="D264" s="493"/>
      <c r="E264" s="391" t="s">
        <v>1571</v>
      </c>
      <c r="F264" s="495">
        <v>5025</v>
      </c>
      <c r="G264" s="495">
        <v>5025</v>
      </c>
      <c r="H264" s="495"/>
    </row>
    <row r="265" spans="1:8" ht="12" customHeight="1">
      <c r="A265" s="477" t="str">
        <f t="shared" si="5"/>
        <v>RA211004</v>
      </c>
      <c r="B265" s="382" t="s">
        <v>1499</v>
      </c>
      <c r="C265" s="493"/>
      <c r="D265" s="493"/>
      <c r="E265" s="391" t="s">
        <v>925</v>
      </c>
      <c r="F265" s="495">
        <v>535121</v>
      </c>
      <c r="G265" s="495">
        <v>535121</v>
      </c>
      <c r="H265" s="495"/>
    </row>
    <row r="266" spans="1:8" ht="12" customHeight="1">
      <c r="A266" s="477" t="str">
        <f t="shared" si="5"/>
        <v>RA211004</v>
      </c>
      <c r="B266" s="382" t="s">
        <v>926</v>
      </c>
      <c r="C266" s="493"/>
      <c r="D266" s="493"/>
      <c r="E266" s="391" t="s">
        <v>927</v>
      </c>
      <c r="F266" s="495">
        <v>121000</v>
      </c>
      <c r="G266" s="495">
        <v>121000</v>
      </c>
      <c r="H266" s="495"/>
    </row>
    <row r="267" spans="1:8" ht="12" customHeight="1">
      <c r="A267" s="477" t="str">
        <f t="shared" si="5"/>
        <v>RA211004</v>
      </c>
      <c r="B267" s="382" t="s">
        <v>928</v>
      </c>
      <c r="C267" s="493"/>
      <c r="D267" s="493"/>
      <c r="E267" s="388" t="s">
        <v>929</v>
      </c>
      <c r="F267" s="495">
        <v>119491</v>
      </c>
      <c r="G267" s="495">
        <v>119491</v>
      </c>
      <c r="H267" s="495"/>
    </row>
    <row r="268" spans="1:8" ht="12" customHeight="1">
      <c r="A268" s="477" t="str">
        <f t="shared" si="5"/>
        <v>RA211004</v>
      </c>
      <c r="B268" s="382" t="s">
        <v>930</v>
      </c>
      <c r="C268" s="493"/>
      <c r="D268" s="493"/>
      <c r="E268" s="388" t="s">
        <v>471</v>
      </c>
      <c r="F268" s="495">
        <v>1626</v>
      </c>
      <c r="G268" s="495">
        <v>1626</v>
      </c>
      <c r="H268" s="495"/>
    </row>
    <row r="269" spans="1:8" ht="12" customHeight="1">
      <c r="A269" s="477" t="str">
        <f t="shared" si="5"/>
        <v>RA211004</v>
      </c>
      <c r="B269" s="382" t="s">
        <v>472</v>
      </c>
      <c r="C269" s="493"/>
      <c r="D269" s="493"/>
      <c r="E269" s="388" t="s">
        <v>540</v>
      </c>
      <c r="F269" s="495">
        <v>1010</v>
      </c>
      <c r="G269" s="495">
        <v>1010</v>
      </c>
      <c r="H269" s="495"/>
    </row>
    <row r="270" spans="1:8" ht="12" customHeight="1">
      <c r="A270" s="477" t="str">
        <f t="shared" si="5"/>
        <v>RA211004</v>
      </c>
      <c r="B270" s="382" t="s">
        <v>541</v>
      </c>
      <c r="C270" s="493"/>
      <c r="D270" s="493"/>
      <c r="E270" s="388" t="s">
        <v>474</v>
      </c>
      <c r="F270" s="495">
        <v>1000</v>
      </c>
      <c r="G270" s="495">
        <v>1000</v>
      </c>
      <c r="H270" s="495"/>
    </row>
    <row r="271" spans="1:8" ht="12" customHeight="1">
      <c r="A271" s="477" t="str">
        <f t="shared" si="5"/>
        <v>RA211004</v>
      </c>
      <c r="B271" s="382" t="s">
        <v>1085</v>
      </c>
      <c r="C271" s="493"/>
      <c r="D271" s="493"/>
      <c r="E271" s="388" t="s">
        <v>1086</v>
      </c>
      <c r="F271" s="495">
        <v>11220</v>
      </c>
      <c r="G271" s="495">
        <v>11220</v>
      </c>
      <c r="H271" s="495"/>
    </row>
    <row r="272" spans="1:8" ht="12" customHeight="1">
      <c r="A272" s="477" t="str">
        <f t="shared" si="5"/>
        <v>RA211004</v>
      </c>
      <c r="B272" s="382" t="s">
        <v>1087</v>
      </c>
      <c r="C272" s="493"/>
      <c r="D272" s="493"/>
      <c r="E272" s="388" t="s">
        <v>1088</v>
      </c>
      <c r="F272" s="495">
        <v>1000</v>
      </c>
      <c r="G272" s="495">
        <v>1000</v>
      </c>
      <c r="H272" s="495"/>
    </row>
    <row r="273" spans="1:8" ht="12" customHeight="1">
      <c r="A273" s="477" t="str">
        <f t="shared" si="5"/>
        <v>RA211004</v>
      </c>
      <c r="B273" s="382" t="s">
        <v>1089</v>
      </c>
      <c r="C273" s="493"/>
      <c r="D273" s="493"/>
      <c r="E273" s="388" t="s">
        <v>1090</v>
      </c>
      <c r="F273" s="495">
        <v>1000</v>
      </c>
      <c r="G273" s="495">
        <v>1000</v>
      </c>
      <c r="H273" s="495"/>
    </row>
    <row r="274" spans="1:8" ht="12" customHeight="1">
      <c r="A274" s="477" t="str">
        <f t="shared" si="5"/>
        <v>RA211004</v>
      </c>
      <c r="B274" s="382" t="s">
        <v>1091</v>
      </c>
      <c r="C274" s="493"/>
      <c r="D274" s="493"/>
      <c r="E274" s="388" t="s">
        <v>1092</v>
      </c>
      <c r="F274" s="495">
        <v>0</v>
      </c>
      <c r="G274" s="495">
        <v>0</v>
      </c>
      <c r="H274" s="495"/>
    </row>
    <row r="275" spans="1:8" ht="12" customHeight="1">
      <c r="A275" s="477" t="str">
        <f t="shared" si="5"/>
        <v>RA211004</v>
      </c>
      <c r="B275" s="382" t="s">
        <v>1093</v>
      </c>
      <c r="C275" s="493"/>
      <c r="D275" s="493"/>
      <c r="E275" s="388" t="s">
        <v>607</v>
      </c>
      <c r="F275" s="495">
        <v>0</v>
      </c>
      <c r="G275" s="495">
        <v>0</v>
      </c>
      <c r="H275" s="495"/>
    </row>
    <row r="276" spans="1:8" ht="12" customHeight="1">
      <c r="A276" s="477" t="str">
        <f t="shared" si="5"/>
        <v>RA211004</v>
      </c>
      <c r="B276" s="382" t="s">
        <v>608</v>
      </c>
      <c r="C276" s="493"/>
      <c r="D276" s="493"/>
      <c r="E276" s="388" t="s">
        <v>88</v>
      </c>
      <c r="F276" s="495">
        <v>56169</v>
      </c>
      <c r="G276" s="495">
        <v>56169</v>
      </c>
      <c r="H276" s="495"/>
    </row>
    <row r="277" spans="1:8" ht="12" customHeight="1">
      <c r="A277" s="477" t="str">
        <f t="shared" si="5"/>
        <v>RA211004</v>
      </c>
      <c r="B277" s="382" t="s">
        <v>89</v>
      </c>
      <c r="C277" s="493"/>
      <c r="D277" s="493"/>
      <c r="E277" s="388" t="s">
        <v>325</v>
      </c>
      <c r="F277" s="495">
        <v>1200</v>
      </c>
      <c r="G277" s="495">
        <v>1200</v>
      </c>
      <c r="H277" s="495"/>
    </row>
    <row r="278" spans="1:8" ht="12" customHeight="1">
      <c r="A278" s="477" t="str">
        <f t="shared" si="5"/>
        <v>RA211004</v>
      </c>
      <c r="B278" s="382" t="s">
        <v>326</v>
      </c>
      <c r="C278" s="493"/>
      <c r="D278" s="493"/>
      <c r="E278" s="388" t="s">
        <v>849</v>
      </c>
      <c r="F278" s="495">
        <v>3721180</v>
      </c>
      <c r="G278" s="495">
        <v>3721180</v>
      </c>
      <c r="H278" s="495"/>
    </row>
    <row r="279" spans="1:8" ht="12" customHeight="1">
      <c r="A279" s="477" t="str">
        <f t="shared" si="5"/>
        <v>RA211004</v>
      </c>
      <c r="B279" s="382" t="s">
        <v>1412</v>
      </c>
      <c r="C279" s="493"/>
      <c r="D279" s="493"/>
      <c r="E279" s="388" t="s">
        <v>127</v>
      </c>
      <c r="F279" s="495">
        <v>96163029</v>
      </c>
      <c r="G279" s="495">
        <f>96163029-34905499-219335+44300000+2000000-4294336+18400000+10000000+10000000</f>
        <v>141443859</v>
      </c>
      <c r="H279" s="495"/>
    </row>
    <row r="280" spans="2:8" ht="12" customHeight="1">
      <c r="B280" s="382"/>
      <c r="C280" s="493"/>
      <c r="D280" s="493"/>
      <c r="E280" s="388"/>
      <c r="F280" s="495"/>
      <c r="G280" s="495"/>
      <c r="H280" s="495"/>
    </row>
    <row r="281" spans="2:8" ht="12" customHeight="1">
      <c r="B281" s="385" t="s">
        <v>1433</v>
      </c>
      <c r="C281" s="385" t="s">
        <v>1454</v>
      </c>
      <c r="D281" s="385" t="s">
        <v>1455</v>
      </c>
      <c r="E281" s="454" t="s">
        <v>949</v>
      </c>
      <c r="F281" s="496">
        <f>SUM(F282:F320)</f>
        <v>219335</v>
      </c>
      <c r="G281" s="537">
        <f>SUM(G282:G320)</f>
        <v>219335</v>
      </c>
      <c r="H281" s="495"/>
    </row>
    <row r="282" spans="1:8" ht="12" customHeight="1">
      <c r="A282" s="477" t="str">
        <f aca="true" t="shared" si="6" ref="A282:A320">$D$281</f>
        <v>RA311001</v>
      </c>
      <c r="B282" s="382" t="s">
        <v>881</v>
      </c>
      <c r="C282" s="385"/>
      <c r="D282" s="385"/>
      <c r="E282" s="388" t="s">
        <v>882</v>
      </c>
      <c r="F282" s="495">
        <v>150</v>
      </c>
      <c r="G282" s="495">
        <v>150</v>
      </c>
      <c r="H282" s="495"/>
    </row>
    <row r="283" spans="1:8" ht="12" customHeight="1">
      <c r="A283" s="477" t="str">
        <f t="shared" si="6"/>
        <v>RA311001</v>
      </c>
      <c r="B283" s="382" t="s">
        <v>883</v>
      </c>
      <c r="C283" s="385"/>
      <c r="D283" s="385"/>
      <c r="E283" s="388" t="s">
        <v>884</v>
      </c>
      <c r="F283" s="495">
        <v>150</v>
      </c>
      <c r="G283" s="495">
        <v>150</v>
      </c>
      <c r="H283" s="495"/>
    </row>
    <row r="284" spans="1:8" ht="12" customHeight="1">
      <c r="A284" s="477" t="str">
        <f t="shared" si="6"/>
        <v>RA311001</v>
      </c>
      <c r="B284" s="382" t="s">
        <v>928</v>
      </c>
      <c r="C284" s="385"/>
      <c r="D284" s="385"/>
      <c r="E284" s="388" t="s">
        <v>1503</v>
      </c>
      <c r="F284" s="495">
        <v>7868</v>
      </c>
      <c r="G284" s="495">
        <v>7868</v>
      </c>
      <c r="H284" s="495"/>
    </row>
    <row r="285" spans="1:8" ht="12" customHeight="1">
      <c r="A285" s="477" t="str">
        <f t="shared" si="6"/>
        <v>RA311001</v>
      </c>
      <c r="B285" s="382" t="s">
        <v>1504</v>
      </c>
      <c r="C285" s="385"/>
      <c r="D285" s="385"/>
      <c r="E285" s="388" t="s">
        <v>1505</v>
      </c>
      <c r="F285" s="495">
        <v>150</v>
      </c>
      <c r="G285" s="495">
        <v>150</v>
      </c>
      <c r="H285" s="495"/>
    </row>
    <row r="286" spans="1:8" ht="12" customHeight="1">
      <c r="A286" s="477" t="str">
        <f t="shared" si="6"/>
        <v>RA311001</v>
      </c>
      <c r="B286" s="382" t="s">
        <v>1506</v>
      </c>
      <c r="C286" s="385"/>
      <c r="D286" s="385"/>
      <c r="E286" s="388" t="s">
        <v>1507</v>
      </c>
      <c r="F286" s="495">
        <v>150</v>
      </c>
      <c r="G286" s="495">
        <v>150</v>
      </c>
      <c r="H286" s="495"/>
    </row>
    <row r="287" spans="1:8" ht="12" customHeight="1">
      <c r="A287" s="477" t="str">
        <f t="shared" si="6"/>
        <v>RA311001</v>
      </c>
      <c r="B287" s="382" t="s">
        <v>1508</v>
      </c>
      <c r="C287" s="385"/>
      <c r="D287" s="385"/>
      <c r="E287" s="388" t="s">
        <v>1509</v>
      </c>
      <c r="F287" s="495">
        <v>0</v>
      </c>
      <c r="G287" s="495">
        <v>0</v>
      </c>
      <c r="H287" s="495"/>
    </row>
    <row r="288" spans="1:8" ht="12" customHeight="1">
      <c r="A288" s="477" t="str">
        <f t="shared" si="6"/>
        <v>RA311001</v>
      </c>
      <c r="B288" s="382" t="s">
        <v>447</v>
      </c>
      <c r="C288" s="385"/>
      <c r="D288" s="385"/>
      <c r="E288" s="388" t="s">
        <v>448</v>
      </c>
      <c r="F288" s="495">
        <v>150</v>
      </c>
      <c r="G288" s="495">
        <v>150</v>
      </c>
      <c r="H288" s="495"/>
    </row>
    <row r="289" spans="1:8" ht="12" customHeight="1">
      <c r="A289" s="477" t="str">
        <f t="shared" si="6"/>
        <v>RA311001</v>
      </c>
      <c r="B289" s="382" t="s">
        <v>930</v>
      </c>
      <c r="C289" s="385"/>
      <c r="D289" s="385"/>
      <c r="E289" s="388" t="s">
        <v>449</v>
      </c>
      <c r="F289" s="495">
        <v>151</v>
      </c>
      <c r="G289" s="495">
        <v>151</v>
      </c>
      <c r="H289" s="495"/>
    </row>
    <row r="290" spans="1:8" ht="12" customHeight="1">
      <c r="A290" s="477" t="str">
        <f t="shared" si="6"/>
        <v>RA311001</v>
      </c>
      <c r="B290" s="382" t="s">
        <v>450</v>
      </c>
      <c r="C290" s="385"/>
      <c r="D290" s="385"/>
      <c r="E290" s="388" t="s">
        <v>451</v>
      </c>
      <c r="F290" s="495">
        <v>151</v>
      </c>
      <c r="G290" s="495">
        <v>151</v>
      </c>
      <c r="H290" s="495"/>
    </row>
    <row r="291" spans="1:8" ht="12" customHeight="1">
      <c r="A291" s="477" t="str">
        <f t="shared" si="6"/>
        <v>RA311001</v>
      </c>
      <c r="B291" s="382" t="s">
        <v>472</v>
      </c>
      <c r="C291" s="385"/>
      <c r="D291" s="385"/>
      <c r="E291" s="388" t="s">
        <v>452</v>
      </c>
      <c r="F291" s="495">
        <v>150</v>
      </c>
      <c r="G291" s="495">
        <v>150</v>
      </c>
      <c r="H291" s="495"/>
    </row>
    <row r="292" spans="1:8" ht="12" customHeight="1">
      <c r="A292" s="477" t="str">
        <f t="shared" si="6"/>
        <v>RA311001</v>
      </c>
      <c r="B292" s="382" t="s">
        <v>541</v>
      </c>
      <c r="C292" s="385"/>
      <c r="D292" s="385"/>
      <c r="E292" s="388" t="s">
        <v>453</v>
      </c>
      <c r="F292" s="495">
        <v>150</v>
      </c>
      <c r="G292" s="495">
        <v>150</v>
      </c>
      <c r="H292" s="495"/>
    </row>
    <row r="293" spans="1:8" ht="12" customHeight="1">
      <c r="A293" s="477" t="str">
        <f t="shared" si="6"/>
        <v>RA311001</v>
      </c>
      <c r="B293" s="382" t="s">
        <v>1085</v>
      </c>
      <c r="C293" s="385"/>
      <c r="D293" s="385"/>
      <c r="E293" s="388" t="s">
        <v>501</v>
      </c>
      <c r="F293" s="495">
        <v>151</v>
      </c>
      <c r="G293" s="495">
        <v>151</v>
      </c>
      <c r="H293" s="495"/>
    </row>
    <row r="294" spans="1:8" ht="12" customHeight="1">
      <c r="A294" s="477" t="str">
        <f t="shared" si="6"/>
        <v>RA311001</v>
      </c>
      <c r="B294" s="382" t="s">
        <v>1087</v>
      </c>
      <c r="C294" s="385"/>
      <c r="D294" s="385"/>
      <c r="E294" s="388" t="s">
        <v>1193</v>
      </c>
      <c r="F294" s="495">
        <v>150</v>
      </c>
      <c r="G294" s="495">
        <v>150</v>
      </c>
      <c r="H294" s="495"/>
    </row>
    <row r="295" spans="1:8" ht="12" customHeight="1">
      <c r="A295" s="477" t="str">
        <f t="shared" si="6"/>
        <v>RA311001</v>
      </c>
      <c r="B295" s="382" t="s">
        <v>1089</v>
      </c>
      <c r="C295" s="385"/>
      <c r="D295" s="385"/>
      <c r="E295" s="388" t="s">
        <v>1194</v>
      </c>
      <c r="F295" s="495">
        <v>0</v>
      </c>
      <c r="G295" s="495">
        <v>0</v>
      </c>
      <c r="H295" s="495"/>
    </row>
    <row r="296" spans="1:8" ht="12" customHeight="1">
      <c r="A296" s="477" t="str">
        <f t="shared" si="6"/>
        <v>RA311001</v>
      </c>
      <c r="B296" s="382" t="s">
        <v>1195</v>
      </c>
      <c r="C296" s="385"/>
      <c r="D296" s="385"/>
      <c r="E296" s="388" t="s">
        <v>1491</v>
      </c>
      <c r="F296" s="495">
        <v>0</v>
      </c>
      <c r="G296" s="495">
        <v>0</v>
      </c>
      <c r="H296" s="495"/>
    </row>
    <row r="297" spans="1:8" ht="12" customHeight="1">
      <c r="A297" s="477" t="str">
        <f t="shared" si="6"/>
        <v>RA311001</v>
      </c>
      <c r="B297" s="382" t="s">
        <v>1492</v>
      </c>
      <c r="C297" s="385"/>
      <c r="D297" s="385"/>
      <c r="E297" s="388" t="s">
        <v>1493</v>
      </c>
      <c r="F297" s="495">
        <v>0</v>
      </c>
      <c r="G297" s="495">
        <v>0</v>
      </c>
      <c r="H297" s="495"/>
    </row>
    <row r="298" spans="1:8" ht="12" customHeight="1">
      <c r="A298" s="477" t="str">
        <f t="shared" si="6"/>
        <v>RA311001</v>
      </c>
      <c r="B298" s="382" t="s">
        <v>1494</v>
      </c>
      <c r="C298" s="385"/>
      <c r="D298" s="385"/>
      <c r="E298" s="388" t="s">
        <v>1495</v>
      </c>
      <c r="F298" s="495">
        <v>0</v>
      </c>
      <c r="G298" s="495">
        <v>0</v>
      </c>
      <c r="H298" s="495"/>
    </row>
    <row r="299" spans="1:8" ht="12" customHeight="1">
      <c r="A299" s="477" t="str">
        <f t="shared" si="6"/>
        <v>RA311001</v>
      </c>
      <c r="B299" s="382" t="s">
        <v>1400</v>
      </c>
      <c r="C299" s="385"/>
      <c r="D299" s="385"/>
      <c r="E299" s="388" t="s">
        <v>1401</v>
      </c>
      <c r="F299" s="495">
        <v>0</v>
      </c>
      <c r="G299" s="495">
        <v>0</v>
      </c>
      <c r="H299" s="495"/>
    </row>
    <row r="300" spans="1:8" ht="12" customHeight="1">
      <c r="A300" s="477" t="str">
        <f t="shared" si="6"/>
        <v>RA311001</v>
      </c>
      <c r="B300" s="382" t="s">
        <v>903</v>
      </c>
      <c r="C300" s="385"/>
      <c r="D300" s="385"/>
      <c r="E300" s="388" t="s">
        <v>904</v>
      </c>
      <c r="F300" s="495">
        <v>150</v>
      </c>
      <c r="G300" s="495">
        <v>150</v>
      </c>
      <c r="H300" s="495"/>
    </row>
    <row r="301" spans="1:8" ht="12" customHeight="1">
      <c r="A301" s="477" t="str">
        <f t="shared" si="6"/>
        <v>RA311001</v>
      </c>
      <c r="B301" s="382" t="s">
        <v>1091</v>
      </c>
      <c r="C301" s="385"/>
      <c r="D301" s="385"/>
      <c r="E301" s="388" t="s">
        <v>905</v>
      </c>
      <c r="F301" s="495">
        <v>150</v>
      </c>
      <c r="G301" s="495">
        <v>150</v>
      </c>
      <c r="H301" s="495"/>
    </row>
    <row r="302" spans="1:8" ht="12" customHeight="1">
      <c r="A302" s="477" t="str">
        <f t="shared" si="6"/>
        <v>RA311001</v>
      </c>
      <c r="B302" s="382" t="s">
        <v>906</v>
      </c>
      <c r="C302" s="385"/>
      <c r="D302" s="385"/>
      <c r="E302" s="388" t="s">
        <v>907</v>
      </c>
      <c r="F302" s="495">
        <v>0</v>
      </c>
      <c r="G302" s="495">
        <v>0</v>
      </c>
      <c r="H302" s="495"/>
    </row>
    <row r="303" spans="1:8" ht="12" customHeight="1">
      <c r="A303" s="477" t="str">
        <f t="shared" si="6"/>
        <v>RA311001</v>
      </c>
      <c r="B303" s="382" t="s">
        <v>1093</v>
      </c>
      <c r="C303" s="385"/>
      <c r="D303" s="385"/>
      <c r="E303" s="388" t="s">
        <v>908</v>
      </c>
      <c r="F303" s="495">
        <v>0</v>
      </c>
      <c r="G303" s="495">
        <v>0</v>
      </c>
      <c r="H303" s="495"/>
    </row>
    <row r="304" spans="1:8" ht="12" customHeight="1">
      <c r="A304" s="477" t="str">
        <f t="shared" si="6"/>
        <v>RA311001</v>
      </c>
      <c r="B304" s="382" t="s">
        <v>608</v>
      </c>
      <c r="C304" s="385"/>
      <c r="D304" s="385"/>
      <c r="E304" s="388" t="s">
        <v>909</v>
      </c>
      <c r="F304" s="495">
        <v>52249</v>
      </c>
      <c r="G304" s="495">
        <v>52249</v>
      </c>
      <c r="H304" s="495"/>
    </row>
    <row r="305" spans="1:8" ht="12" customHeight="1">
      <c r="A305" s="477" t="str">
        <f t="shared" si="6"/>
        <v>RA311001</v>
      </c>
      <c r="B305" s="382" t="s">
        <v>89</v>
      </c>
      <c r="C305" s="385"/>
      <c r="D305" s="385"/>
      <c r="E305" s="388" t="s">
        <v>1475</v>
      </c>
      <c r="F305" s="495">
        <v>110</v>
      </c>
      <c r="G305" s="495">
        <v>110</v>
      </c>
      <c r="H305" s="495"/>
    </row>
    <row r="306" spans="1:8" ht="12" customHeight="1">
      <c r="A306" s="477" t="str">
        <f t="shared" si="6"/>
        <v>RA311001</v>
      </c>
      <c r="B306" s="382" t="s">
        <v>326</v>
      </c>
      <c r="C306" s="385"/>
      <c r="D306" s="385"/>
      <c r="E306" s="388" t="s">
        <v>849</v>
      </c>
      <c r="F306" s="495">
        <v>10852</v>
      </c>
      <c r="G306" s="495">
        <v>10852</v>
      </c>
      <c r="H306" s="495"/>
    </row>
    <row r="307" spans="1:8" ht="12" customHeight="1">
      <c r="A307" s="477" t="str">
        <f t="shared" si="6"/>
        <v>RA311001</v>
      </c>
      <c r="B307" s="382" t="s">
        <v>1476</v>
      </c>
      <c r="C307" s="493"/>
      <c r="D307" s="493"/>
      <c r="E307" s="388" t="s">
        <v>475</v>
      </c>
      <c r="F307" s="495">
        <v>0</v>
      </c>
      <c r="G307" s="495">
        <v>0</v>
      </c>
      <c r="H307" s="495"/>
    </row>
    <row r="308" spans="1:8" ht="12" customHeight="1">
      <c r="A308" s="477" t="str">
        <f t="shared" si="6"/>
        <v>RA311001</v>
      </c>
      <c r="B308" s="382" t="s">
        <v>476</v>
      </c>
      <c r="C308" s="493"/>
      <c r="D308" s="493"/>
      <c r="E308" s="388" t="s">
        <v>553</v>
      </c>
      <c r="F308" s="495">
        <v>25</v>
      </c>
      <c r="G308" s="495">
        <v>25</v>
      </c>
      <c r="H308" s="495"/>
    </row>
    <row r="309" spans="1:8" ht="12" customHeight="1">
      <c r="A309" s="477" t="str">
        <f t="shared" si="6"/>
        <v>RA311001</v>
      </c>
      <c r="B309" s="382" t="s">
        <v>1544</v>
      </c>
      <c r="C309" s="493"/>
      <c r="D309" s="493"/>
      <c r="E309" s="388" t="s">
        <v>1545</v>
      </c>
      <c r="F309" s="495">
        <v>0</v>
      </c>
      <c r="G309" s="495">
        <v>0</v>
      </c>
      <c r="H309" s="495"/>
    </row>
    <row r="310" spans="1:8" ht="12" customHeight="1">
      <c r="A310" s="477" t="str">
        <f t="shared" si="6"/>
        <v>RA311001</v>
      </c>
      <c r="B310" s="382" t="s">
        <v>561</v>
      </c>
      <c r="C310" s="493"/>
      <c r="D310" s="493"/>
      <c r="E310" s="388" t="s">
        <v>773</v>
      </c>
      <c r="F310" s="495">
        <v>0</v>
      </c>
      <c r="G310" s="495">
        <v>0</v>
      </c>
      <c r="H310" s="495"/>
    </row>
    <row r="311" spans="1:8" ht="12" customHeight="1">
      <c r="A311" s="477" t="str">
        <f t="shared" si="6"/>
        <v>RA311001</v>
      </c>
      <c r="B311" s="382" t="s">
        <v>1293</v>
      </c>
      <c r="C311" s="493"/>
      <c r="D311" s="493"/>
      <c r="E311" s="388" t="s">
        <v>1375</v>
      </c>
      <c r="F311" s="495">
        <v>0</v>
      </c>
      <c r="G311" s="495">
        <v>0</v>
      </c>
      <c r="H311" s="495"/>
    </row>
    <row r="312" spans="1:8" ht="12" customHeight="1">
      <c r="A312" s="477" t="str">
        <f t="shared" si="6"/>
        <v>RA311001</v>
      </c>
      <c r="B312" s="382" t="s">
        <v>1376</v>
      </c>
      <c r="C312" s="493"/>
      <c r="D312" s="493"/>
      <c r="E312" s="388" t="s">
        <v>1264</v>
      </c>
      <c r="F312" s="495">
        <v>0</v>
      </c>
      <c r="G312" s="495">
        <v>0</v>
      </c>
      <c r="H312" s="495"/>
    </row>
    <row r="313" spans="1:8" ht="12" customHeight="1">
      <c r="A313" s="477" t="str">
        <f t="shared" si="6"/>
        <v>RA311001</v>
      </c>
      <c r="B313" s="382" t="s">
        <v>1265</v>
      </c>
      <c r="C313" s="493"/>
      <c r="D313" s="493"/>
      <c r="E313" s="388" t="s">
        <v>165</v>
      </c>
      <c r="F313" s="495">
        <v>0</v>
      </c>
      <c r="G313" s="495">
        <v>0</v>
      </c>
      <c r="H313" s="495"/>
    </row>
    <row r="314" spans="1:8" ht="12" customHeight="1">
      <c r="A314" s="477" t="str">
        <f t="shared" si="6"/>
        <v>RA311001</v>
      </c>
      <c r="B314" s="382" t="s">
        <v>166</v>
      </c>
      <c r="C314" s="493"/>
      <c r="D314" s="493"/>
      <c r="E314" s="388" t="s">
        <v>359</v>
      </c>
      <c r="F314" s="495">
        <v>0</v>
      </c>
      <c r="G314" s="495">
        <v>0</v>
      </c>
      <c r="H314" s="495"/>
    </row>
    <row r="315" spans="1:8" ht="12" customHeight="1">
      <c r="A315" s="477" t="str">
        <f t="shared" si="6"/>
        <v>RA311001</v>
      </c>
      <c r="B315" s="382" t="s">
        <v>360</v>
      </c>
      <c r="C315" s="493"/>
      <c r="D315" s="493"/>
      <c r="E315" s="388" t="s">
        <v>361</v>
      </c>
      <c r="F315" s="495">
        <v>0</v>
      </c>
      <c r="G315" s="495">
        <v>0</v>
      </c>
      <c r="H315" s="495"/>
    </row>
    <row r="316" spans="1:8" ht="12" customHeight="1">
      <c r="A316" s="477" t="str">
        <f t="shared" si="6"/>
        <v>RA311001</v>
      </c>
      <c r="B316" s="382" t="s">
        <v>362</v>
      </c>
      <c r="C316" s="493"/>
      <c r="D316" s="493"/>
      <c r="E316" s="388" t="s">
        <v>363</v>
      </c>
      <c r="F316" s="495">
        <v>25</v>
      </c>
      <c r="G316" s="495">
        <v>25</v>
      </c>
      <c r="H316" s="495"/>
    </row>
    <row r="317" spans="1:8" ht="12" customHeight="1">
      <c r="A317" s="477" t="str">
        <f t="shared" si="6"/>
        <v>RA311001</v>
      </c>
      <c r="B317" s="382" t="s">
        <v>364</v>
      </c>
      <c r="C317" s="493"/>
      <c r="D317" s="493"/>
      <c r="E317" s="388" t="s">
        <v>365</v>
      </c>
      <c r="F317" s="495">
        <v>0</v>
      </c>
      <c r="G317" s="495">
        <v>0</v>
      </c>
      <c r="H317" s="495"/>
    </row>
    <row r="318" spans="1:8" ht="12" customHeight="1">
      <c r="A318" s="477" t="str">
        <f t="shared" si="6"/>
        <v>RA311001</v>
      </c>
      <c r="B318" s="382" t="s">
        <v>366</v>
      </c>
      <c r="C318" s="493"/>
      <c r="D318" s="493"/>
      <c r="E318" s="388" t="s">
        <v>367</v>
      </c>
      <c r="F318" s="495">
        <v>0</v>
      </c>
      <c r="G318" s="495">
        <v>0</v>
      </c>
      <c r="H318" s="495"/>
    </row>
    <row r="319" spans="1:8" ht="12" customHeight="1">
      <c r="A319" s="477" t="str">
        <f t="shared" si="6"/>
        <v>RA311001</v>
      </c>
      <c r="B319" s="382" t="s">
        <v>1549</v>
      </c>
      <c r="C319" s="493"/>
      <c r="D319" s="493"/>
      <c r="E319" s="388" t="s">
        <v>308</v>
      </c>
      <c r="F319" s="495">
        <v>2757</v>
      </c>
      <c r="G319" s="495">
        <v>2757</v>
      </c>
      <c r="H319" s="495"/>
    </row>
    <row r="320" spans="1:8" ht="12" customHeight="1">
      <c r="A320" s="477" t="str">
        <f t="shared" si="6"/>
        <v>RA311001</v>
      </c>
      <c r="B320" s="382" t="s">
        <v>1412</v>
      </c>
      <c r="C320" s="493"/>
      <c r="D320" s="493"/>
      <c r="E320" s="388" t="s">
        <v>127</v>
      </c>
      <c r="F320" s="495">
        <v>143496</v>
      </c>
      <c r="G320" s="495">
        <v>143496</v>
      </c>
      <c r="H320" s="495"/>
    </row>
    <row r="321" spans="2:8" ht="12" customHeight="1">
      <c r="B321" s="382"/>
      <c r="C321" s="493"/>
      <c r="D321" s="493"/>
      <c r="E321" s="388"/>
      <c r="F321" s="495"/>
      <c r="G321" s="495"/>
      <c r="H321" s="495"/>
    </row>
    <row r="322" spans="2:8" ht="12" customHeight="1">
      <c r="B322" s="437" t="s">
        <v>1433</v>
      </c>
      <c r="C322" s="437" t="s">
        <v>368</v>
      </c>
      <c r="D322" s="437" t="s">
        <v>1526</v>
      </c>
      <c r="E322" s="523" t="s">
        <v>386</v>
      </c>
      <c r="F322" s="495"/>
      <c r="G322" s="495"/>
      <c r="H322" s="495"/>
    </row>
    <row r="323" spans="1:8" ht="12" customHeight="1">
      <c r="A323" s="477" t="str">
        <f>D322</f>
        <v>RA311003</v>
      </c>
      <c r="B323" s="382" t="s">
        <v>387</v>
      </c>
      <c r="C323" s="493"/>
      <c r="D323" s="493"/>
      <c r="E323" s="388"/>
      <c r="F323" s="526">
        <v>0</v>
      </c>
      <c r="G323" s="526">
        <v>0</v>
      </c>
      <c r="H323" s="495"/>
    </row>
    <row r="324" spans="2:8" ht="12" customHeight="1">
      <c r="B324" s="382"/>
      <c r="C324" s="493"/>
      <c r="D324" s="493"/>
      <c r="E324" s="388"/>
      <c r="F324" s="495"/>
      <c r="G324" s="495"/>
      <c r="H324" s="495"/>
    </row>
    <row r="325" spans="2:11" ht="12" customHeight="1">
      <c r="B325" s="437" t="s">
        <v>1433</v>
      </c>
      <c r="C325" s="437" t="s">
        <v>388</v>
      </c>
      <c r="D325" s="437" t="s">
        <v>389</v>
      </c>
      <c r="E325" s="523" t="s">
        <v>390</v>
      </c>
      <c r="F325" s="495"/>
      <c r="G325" s="495"/>
      <c r="H325" s="495"/>
      <c r="K325" s="479">
        <f>1543799+48606668</f>
        <v>50150467</v>
      </c>
    </row>
    <row r="326" spans="1:11" ht="12" customHeight="1">
      <c r="A326" s="477" t="str">
        <f>D325</f>
        <v>RA311003.0</v>
      </c>
      <c r="B326" s="382" t="s">
        <v>1123</v>
      </c>
      <c r="C326" s="493"/>
      <c r="D326" s="493"/>
      <c r="E326" s="388" t="s">
        <v>1124</v>
      </c>
      <c r="F326" s="526">
        <v>2779003</v>
      </c>
      <c r="G326" s="526">
        <f>+'MLBSS_Receita e Despesa'!C391-30</f>
        <v>-30</v>
      </c>
      <c r="H326" s="495">
        <f>'MLBSS_Receita e Despesa'!C391-G323-G326-G329-G368</f>
        <v>0</v>
      </c>
      <c r="K326" s="479">
        <f>1542754+48334820</f>
        <v>49877574</v>
      </c>
    </row>
    <row r="327" spans="2:8" ht="12" customHeight="1">
      <c r="B327" s="382"/>
      <c r="C327" s="493"/>
      <c r="D327" s="493"/>
      <c r="E327" s="388"/>
      <c r="F327" s="495"/>
      <c r="G327" s="495"/>
      <c r="H327" s="495"/>
    </row>
    <row r="328" spans="2:8" ht="12" customHeight="1">
      <c r="B328" s="437" t="s">
        <v>1433</v>
      </c>
      <c r="C328" s="437" t="s">
        <v>1520</v>
      </c>
      <c r="D328" s="437" t="s">
        <v>1521</v>
      </c>
      <c r="E328" s="523" t="s">
        <v>390</v>
      </c>
      <c r="F328" s="495"/>
      <c r="G328" s="495"/>
      <c r="H328" s="495"/>
    </row>
    <row r="329" spans="1:8" ht="12" customHeight="1">
      <c r="A329" s="477" t="str">
        <f>D328</f>
        <v>RA311003.RAP</v>
      </c>
      <c r="B329" s="382" t="s">
        <v>326</v>
      </c>
      <c r="C329" s="497"/>
      <c r="D329" s="497"/>
      <c r="E329" s="388" t="s">
        <v>849</v>
      </c>
      <c r="F329" s="526">
        <v>20</v>
      </c>
      <c r="G329" s="526">
        <v>20</v>
      </c>
      <c r="H329" s="495"/>
    </row>
    <row r="330" spans="2:8" ht="12" customHeight="1">
      <c r="B330" s="382"/>
      <c r="C330" s="493"/>
      <c r="D330" s="493"/>
      <c r="E330" s="388"/>
      <c r="F330" s="495"/>
      <c r="G330" s="495"/>
      <c r="H330" s="495"/>
    </row>
    <row r="331" spans="2:8" ht="12" customHeight="1">
      <c r="B331" s="385" t="s">
        <v>1433</v>
      </c>
      <c r="C331" s="389" t="s">
        <v>1522</v>
      </c>
      <c r="D331" s="385" t="s">
        <v>369</v>
      </c>
      <c r="E331" s="386" t="s">
        <v>729</v>
      </c>
      <c r="F331" s="496">
        <f>SUM(F332:F336)</f>
        <v>0</v>
      </c>
      <c r="G331" s="496">
        <f>+'MLBSS_Receita e Despesa'!C366</f>
        <v>3448109</v>
      </c>
      <c r="H331" s="496"/>
    </row>
    <row r="332" spans="1:8" ht="12" customHeight="1">
      <c r="A332" s="477" t="str">
        <f>D331</f>
        <v>RA211005</v>
      </c>
      <c r="B332" s="382" t="s">
        <v>730</v>
      </c>
      <c r="C332" s="493"/>
      <c r="D332" s="493"/>
      <c r="E332" s="391" t="s">
        <v>1113</v>
      </c>
      <c r="F332" s="495">
        <v>0</v>
      </c>
      <c r="G332" s="495"/>
      <c r="H332" s="495"/>
    </row>
    <row r="333" spans="1:8" ht="12" customHeight="1">
      <c r="A333" s="477" t="str">
        <f>D331</f>
        <v>RA211005</v>
      </c>
      <c r="B333" s="382" t="s">
        <v>1114</v>
      </c>
      <c r="C333" s="493"/>
      <c r="D333" s="493"/>
      <c r="E333" s="391" t="s">
        <v>1115</v>
      </c>
      <c r="F333" s="495">
        <v>0</v>
      </c>
      <c r="G333" s="495"/>
      <c r="H333" s="495"/>
    </row>
    <row r="334" spans="1:8" ht="12" customHeight="1">
      <c r="A334" s="477" t="str">
        <f>D331</f>
        <v>RA211005</v>
      </c>
      <c r="B334" s="382" t="s">
        <v>1116</v>
      </c>
      <c r="C334" s="493"/>
      <c r="D334" s="493"/>
      <c r="E334" s="391" t="s">
        <v>1117</v>
      </c>
      <c r="F334" s="495">
        <v>0</v>
      </c>
      <c r="G334" s="495"/>
      <c r="H334" s="495"/>
    </row>
    <row r="335" spans="1:8" ht="12" customHeight="1">
      <c r="A335" s="477" t="str">
        <f>D331</f>
        <v>RA211005</v>
      </c>
      <c r="B335" s="382" t="s">
        <v>1118</v>
      </c>
      <c r="C335" s="493"/>
      <c r="D335" s="493"/>
      <c r="E335" s="391" t="s">
        <v>155</v>
      </c>
      <c r="F335" s="495">
        <v>0</v>
      </c>
      <c r="G335" s="495"/>
      <c r="H335" s="495"/>
    </row>
    <row r="336" spans="1:8" ht="12" customHeight="1">
      <c r="A336" s="477" t="str">
        <f>D331</f>
        <v>RA211005</v>
      </c>
      <c r="B336" s="382" t="s">
        <v>326</v>
      </c>
      <c r="C336" s="493"/>
      <c r="D336" s="493"/>
      <c r="E336" s="391" t="s">
        <v>1154</v>
      </c>
      <c r="F336" s="495">
        <v>0</v>
      </c>
      <c r="G336" s="495"/>
      <c r="H336" s="495"/>
    </row>
    <row r="337" spans="2:8" ht="12" customHeight="1">
      <c r="B337" s="382"/>
      <c r="C337" s="493"/>
      <c r="D337" s="493"/>
      <c r="E337" s="390"/>
      <c r="F337" s="495"/>
      <c r="G337" s="495"/>
      <c r="H337" s="495"/>
    </row>
    <row r="338" spans="2:8" ht="12" customHeight="1">
      <c r="B338" s="385" t="s">
        <v>1433</v>
      </c>
      <c r="C338" s="389" t="s">
        <v>1155</v>
      </c>
      <c r="D338" s="385" t="s">
        <v>958</v>
      </c>
      <c r="E338" s="386" t="s">
        <v>1013</v>
      </c>
      <c r="F338" s="495"/>
      <c r="G338" s="495"/>
      <c r="H338" s="495"/>
    </row>
    <row r="339" spans="1:8" ht="12" customHeight="1">
      <c r="A339" s="477" t="str">
        <f>D338</f>
        <v>RA211006</v>
      </c>
      <c r="B339" s="382" t="s">
        <v>387</v>
      </c>
      <c r="C339" s="493"/>
      <c r="D339" s="493"/>
      <c r="E339" s="391" t="s">
        <v>1014</v>
      </c>
      <c r="F339" s="495">
        <v>0</v>
      </c>
      <c r="G339" s="495">
        <f>+'MLBSS_Receita e Despesa'!C372</f>
        <v>117796178</v>
      </c>
      <c r="H339" s="495"/>
    </row>
    <row r="340" spans="2:8" ht="12" customHeight="1">
      <c r="B340" s="493"/>
      <c r="C340" s="493"/>
      <c r="D340" s="493"/>
      <c r="E340" s="386"/>
      <c r="F340" s="495"/>
      <c r="G340" s="495"/>
      <c r="H340" s="495"/>
    </row>
    <row r="341" spans="2:11" ht="12" customHeight="1">
      <c r="B341" s="385" t="s">
        <v>1433</v>
      </c>
      <c r="C341" s="389" t="s">
        <v>549</v>
      </c>
      <c r="D341" s="385" t="s">
        <v>549</v>
      </c>
      <c r="E341" s="381" t="s">
        <v>8</v>
      </c>
      <c r="F341" s="496">
        <f>SUM(F342:F345)</f>
        <v>513551885</v>
      </c>
      <c r="G341" s="496">
        <f>SUM(G342:G345)</f>
        <v>1019218938</v>
      </c>
      <c r="H341" s="496">
        <f>'MLBSS_Receita e Despesa'!C381+'MLBSS_Receita e Despesa'!C377-G341</f>
        <v>338097669</v>
      </c>
      <c r="K341" s="520"/>
    </row>
    <row r="342" spans="2:8" ht="12" customHeight="1">
      <c r="B342" s="382" t="s">
        <v>1570</v>
      </c>
      <c r="C342" s="385"/>
      <c r="D342" s="385"/>
      <c r="E342" s="391" t="s">
        <v>1016</v>
      </c>
      <c r="F342" s="495">
        <v>0</v>
      </c>
      <c r="G342" s="495">
        <v>33000</v>
      </c>
      <c r="H342" s="495"/>
    </row>
    <row r="343" spans="2:8" ht="12" customHeight="1">
      <c r="B343" s="382" t="s">
        <v>1017</v>
      </c>
      <c r="C343" s="385"/>
      <c r="D343" s="385"/>
      <c r="E343" s="391" t="s">
        <v>728</v>
      </c>
      <c r="F343" s="495">
        <v>497218885</v>
      </c>
      <c r="G343" s="495">
        <f>96442750+3600000+3000000+155643188</f>
        <v>258685938</v>
      </c>
      <c r="H343" s="495"/>
    </row>
    <row r="344" spans="2:8" ht="12" customHeight="1">
      <c r="B344" s="382" t="s">
        <v>1412</v>
      </c>
      <c r="C344" s="385"/>
      <c r="D344" s="385"/>
      <c r="E344" s="395" t="s">
        <v>128</v>
      </c>
      <c r="F344" s="495">
        <v>16333000</v>
      </c>
      <c r="G344" s="495">
        <f>4000000+4700000+7600000</f>
        <v>16300000</v>
      </c>
      <c r="H344" s="495"/>
    </row>
    <row r="345" spans="2:8" ht="12" customHeight="1">
      <c r="B345" s="382" t="s">
        <v>1017</v>
      </c>
      <c r="C345" s="493"/>
      <c r="D345" s="493"/>
      <c r="E345" s="395" t="s">
        <v>174</v>
      </c>
      <c r="F345" s="495">
        <v>0</v>
      </c>
      <c r="G345" s="495">
        <v>744200000</v>
      </c>
      <c r="H345" s="495"/>
    </row>
    <row r="346" spans="2:8" ht="12" customHeight="1">
      <c r="B346" s="382"/>
      <c r="C346" s="493"/>
      <c r="D346" s="493"/>
      <c r="E346" s="394"/>
      <c r="F346" s="495"/>
      <c r="G346" s="495"/>
      <c r="H346" s="495"/>
    </row>
    <row r="347" spans="2:8" ht="12" customHeight="1">
      <c r="B347" s="385" t="s">
        <v>1433</v>
      </c>
      <c r="C347" s="389" t="s">
        <v>548</v>
      </c>
      <c r="D347" s="385" t="s">
        <v>548</v>
      </c>
      <c r="E347" s="381" t="s">
        <v>1286</v>
      </c>
      <c r="F347" s="496">
        <f>+F348+F349</f>
        <v>23017000</v>
      </c>
      <c r="G347" s="496">
        <f>+G348+G349</f>
        <v>4250000</v>
      </c>
      <c r="H347" s="496">
        <f>'MLBSS_Receita e Despesa'!C382-G347</f>
        <v>0</v>
      </c>
    </row>
    <row r="348" spans="2:8" ht="12" customHeight="1">
      <c r="B348" s="382" t="s">
        <v>1570</v>
      </c>
      <c r="C348" s="385"/>
      <c r="D348" s="385"/>
      <c r="E348" s="391" t="s">
        <v>1016</v>
      </c>
      <c r="F348" s="495">
        <v>17000</v>
      </c>
      <c r="G348" s="495">
        <v>17000</v>
      </c>
      <c r="H348" s="495"/>
    </row>
    <row r="349" spans="2:8" ht="12" customHeight="1">
      <c r="B349" s="382" t="s">
        <v>1412</v>
      </c>
      <c r="C349" s="385"/>
      <c r="D349" s="385"/>
      <c r="E349" s="395" t="s">
        <v>1287</v>
      </c>
      <c r="F349" s="495">
        <v>23000000</v>
      </c>
      <c r="G349" s="495">
        <f>'MLBSS_Receita e Despesa'!C382-G348</f>
        <v>4233000</v>
      </c>
      <c r="H349" s="495"/>
    </row>
    <row r="350" spans="2:8" ht="12" customHeight="1">
      <c r="B350" s="382"/>
      <c r="C350" s="493"/>
      <c r="D350" s="493"/>
      <c r="E350" s="391"/>
      <c r="F350" s="495"/>
      <c r="G350" s="495"/>
      <c r="H350" s="495"/>
    </row>
    <row r="351" spans="2:8" ht="12" customHeight="1">
      <c r="B351" s="385" t="s">
        <v>1433</v>
      </c>
      <c r="C351" s="389" t="s">
        <v>549</v>
      </c>
      <c r="D351" s="385" t="s">
        <v>549</v>
      </c>
      <c r="E351" s="385" t="s">
        <v>1288</v>
      </c>
      <c r="F351" s="495"/>
      <c r="G351" s="495"/>
      <c r="H351" s="495"/>
    </row>
    <row r="352" spans="2:8" ht="12" customHeight="1">
      <c r="B352" s="382" t="s">
        <v>750</v>
      </c>
      <c r="C352" s="497"/>
      <c r="D352" s="497"/>
      <c r="E352" s="382" t="s">
        <v>1289</v>
      </c>
      <c r="F352" s="495">
        <v>3291519</v>
      </c>
      <c r="G352" s="495">
        <f>+'MLBSS_Receita e Despesa'!C388</f>
        <v>153000</v>
      </c>
      <c r="H352" s="495">
        <f>'MLBSS_Receita e Despesa'!C388-G352</f>
        <v>0</v>
      </c>
    </row>
    <row r="353" spans="2:8" ht="12" customHeight="1">
      <c r="B353" s="382"/>
      <c r="C353" s="497"/>
      <c r="D353" s="497"/>
      <c r="E353" s="391"/>
      <c r="F353" s="495"/>
      <c r="G353" s="495"/>
      <c r="H353" s="495"/>
    </row>
    <row r="354" spans="2:8" ht="12" customHeight="1">
      <c r="B354" s="385" t="s">
        <v>1433</v>
      </c>
      <c r="C354" s="389" t="s">
        <v>812</v>
      </c>
      <c r="D354" s="385" t="s">
        <v>1097</v>
      </c>
      <c r="E354" s="386" t="s">
        <v>161</v>
      </c>
      <c r="F354" s="496">
        <f>SUM(F355:F358)</f>
        <v>2189661</v>
      </c>
      <c r="G354" s="496">
        <f>SUM(G355:G358)</f>
        <v>2189661</v>
      </c>
      <c r="H354" s="496"/>
    </row>
    <row r="355" spans="2:8" ht="12" customHeight="1">
      <c r="B355" s="382" t="s">
        <v>1121</v>
      </c>
      <c r="C355" s="389"/>
      <c r="D355" s="389"/>
      <c r="E355" s="388" t="s">
        <v>1122</v>
      </c>
      <c r="F355" s="495">
        <v>0</v>
      </c>
      <c r="G355" s="495">
        <v>0</v>
      </c>
      <c r="H355" s="495"/>
    </row>
    <row r="356" spans="2:8" ht="12" customHeight="1">
      <c r="B356" s="382" t="s">
        <v>1123</v>
      </c>
      <c r="C356" s="389"/>
      <c r="D356" s="389"/>
      <c r="E356" s="388" t="s">
        <v>1124</v>
      </c>
      <c r="F356" s="495">
        <v>2189661</v>
      </c>
      <c r="G356" s="495">
        <v>2189661</v>
      </c>
      <c r="H356" s="495"/>
    </row>
    <row r="357" spans="2:8" ht="12" customHeight="1">
      <c r="B357" s="382" t="s">
        <v>1125</v>
      </c>
      <c r="C357" s="497"/>
      <c r="D357" s="497"/>
      <c r="E357" s="388" t="s">
        <v>1126</v>
      </c>
      <c r="F357" s="495">
        <v>0</v>
      </c>
      <c r="G357" s="495">
        <v>0</v>
      </c>
      <c r="H357" s="495"/>
    </row>
    <row r="358" spans="2:8" ht="12" customHeight="1">
      <c r="B358" s="382" t="s">
        <v>326</v>
      </c>
      <c r="C358" s="497"/>
      <c r="D358" s="497"/>
      <c r="E358" s="388" t="s">
        <v>849</v>
      </c>
      <c r="F358" s="495">
        <v>0</v>
      </c>
      <c r="G358" s="495">
        <v>0</v>
      </c>
      <c r="H358" s="495"/>
    </row>
    <row r="359" spans="2:8" ht="12" customHeight="1">
      <c r="B359" s="382"/>
      <c r="C359" s="497"/>
      <c r="D359" s="497"/>
      <c r="E359" s="386"/>
      <c r="F359" s="495"/>
      <c r="G359" s="495"/>
      <c r="H359" s="495"/>
    </row>
    <row r="360" spans="2:8" ht="12" customHeight="1">
      <c r="B360" s="385" t="s">
        <v>1433</v>
      </c>
      <c r="C360" s="389" t="s">
        <v>162</v>
      </c>
      <c r="D360" s="385" t="s">
        <v>31</v>
      </c>
      <c r="E360" s="386" t="s">
        <v>1340</v>
      </c>
      <c r="F360" s="496">
        <f>+F361+F362</f>
        <v>40001</v>
      </c>
      <c r="G360" s="496">
        <f>+G361+G362</f>
        <v>40001</v>
      </c>
      <c r="H360" s="496"/>
    </row>
    <row r="361" spans="1:8" ht="12" customHeight="1">
      <c r="A361" s="477" t="str">
        <f>D360</f>
        <v>RA211007</v>
      </c>
      <c r="B361" s="382" t="s">
        <v>326</v>
      </c>
      <c r="C361" s="497"/>
      <c r="D361" s="493"/>
      <c r="E361" s="388" t="s">
        <v>849</v>
      </c>
      <c r="F361" s="495">
        <v>1</v>
      </c>
      <c r="G361" s="495">
        <v>1</v>
      </c>
      <c r="H361" s="495"/>
    </row>
    <row r="362" spans="1:8" ht="12" customHeight="1">
      <c r="A362" s="477" t="str">
        <f>D360</f>
        <v>RA211007</v>
      </c>
      <c r="B362" s="382" t="s">
        <v>1412</v>
      </c>
      <c r="C362" s="497"/>
      <c r="D362" s="493"/>
      <c r="E362" s="388" t="s">
        <v>127</v>
      </c>
      <c r="F362" s="495">
        <v>40000</v>
      </c>
      <c r="G362" s="495">
        <v>40000</v>
      </c>
      <c r="H362" s="495"/>
    </row>
    <row r="363" spans="2:8" ht="12" customHeight="1">
      <c r="B363" s="382"/>
      <c r="C363" s="497"/>
      <c r="D363" s="493"/>
      <c r="E363" s="382"/>
      <c r="F363" s="495"/>
      <c r="G363" s="495"/>
      <c r="H363" s="495"/>
    </row>
    <row r="364" spans="2:8" ht="12" customHeight="1">
      <c r="B364" s="385" t="s">
        <v>1433</v>
      </c>
      <c r="C364" s="389" t="s">
        <v>163</v>
      </c>
      <c r="D364" s="385" t="s">
        <v>164</v>
      </c>
      <c r="E364" s="454" t="s">
        <v>1417</v>
      </c>
      <c r="F364" s="495"/>
      <c r="G364" s="495"/>
      <c r="H364" s="495"/>
    </row>
    <row r="365" spans="1:8" ht="12" customHeight="1">
      <c r="A365" s="477" t="str">
        <f>D364</f>
        <v>RA211008</v>
      </c>
      <c r="B365" s="382" t="s">
        <v>750</v>
      </c>
      <c r="C365" s="493"/>
      <c r="D365" s="493"/>
      <c r="E365" s="388" t="s">
        <v>1598</v>
      </c>
      <c r="F365" s="495">
        <v>38298</v>
      </c>
      <c r="G365" s="495">
        <f>+'MLBSS_Receita e Despesa'!C386</f>
        <v>30000</v>
      </c>
      <c r="H365" s="495"/>
    </row>
    <row r="366" spans="2:8" ht="12" customHeight="1">
      <c r="B366" s="382"/>
      <c r="C366" s="493"/>
      <c r="D366" s="493"/>
      <c r="E366" s="388"/>
      <c r="F366" s="495"/>
      <c r="G366" s="495"/>
      <c r="H366" s="495"/>
    </row>
    <row r="367" spans="2:8" ht="12" customHeight="1">
      <c r="B367" s="437" t="s">
        <v>1433</v>
      </c>
      <c r="C367" s="524" t="s">
        <v>1415</v>
      </c>
      <c r="D367" s="437" t="s">
        <v>98</v>
      </c>
      <c r="E367" s="525" t="s">
        <v>1274</v>
      </c>
      <c r="F367" s="495"/>
      <c r="G367" s="495"/>
      <c r="H367" s="495"/>
    </row>
    <row r="368" spans="1:8" ht="12" customHeight="1">
      <c r="A368" s="477" t="str">
        <f>D367</f>
        <v>RA211009</v>
      </c>
      <c r="B368" s="382" t="s">
        <v>1123</v>
      </c>
      <c r="C368" s="389"/>
      <c r="D368" s="385"/>
      <c r="E368" s="388" t="s">
        <v>1124</v>
      </c>
      <c r="F368" s="526">
        <v>10</v>
      </c>
      <c r="G368" s="526">
        <v>10</v>
      </c>
      <c r="H368" s="495"/>
    </row>
    <row r="369" spans="2:8" ht="12" customHeight="1">
      <c r="B369" s="382"/>
      <c r="C369" s="493"/>
      <c r="D369" s="493"/>
      <c r="E369" s="388"/>
      <c r="F369" s="495"/>
      <c r="G369" s="495"/>
      <c r="H369" s="495"/>
    </row>
    <row r="370" spans="2:8" ht="12" customHeight="1">
      <c r="B370" s="532" t="s">
        <v>846</v>
      </c>
      <c r="C370" s="540"/>
      <c r="D370" s="541" t="s">
        <v>845</v>
      </c>
      <c r="E370" s="527" t="s">
        <v>1149</v>
      </c>
      <c r="F370" s="529"/>
      <c r="G370" s="529">
        <f>+'MLBSS_Receita e Despesa'!C393</f>
        <v>0</v>
      </c>
      <c r="H370" s="495"/>
    </row>
    <row r="371" spans="2:8" ht="12" customHeight="1">
      <c r="B371" s="382"/>
      <c r="C371" s="493"/>
      <c r="D371" s="493"/>
      <c r="E371" s="382"/>
      <c r="F371" s="495"/>
      <c r="G371" s="495"/>
      <c r="H371" s="495"/>
    </row>
    <row r="372" spans="2:8" ht="12" customHeight="1">
      <c r="B372" s="382"/>
      <c r="C372" s="493"/>
      <c r="D372" s="493"/>
      <c r="E372" s="381" t="s">
        <v>611</v>
      </c>
      <c r="F372" s="495"/>
      <c r="G372" s="495"/>
      <c r="H372" s="495"/>
    </row>
    <row r="373" spans="2:8" ht="12" customHeight="1">
      <c r="B373" s="385" t="s">
        <v>1433</v>
      </c>
      <c r="C373" s="385" t="s">
        <v>1415</v>
      </c>
      <c r="D373" s="493"/>
      <c r="E373" s="390" t="s">
        <v>1163</v>
      </c>
      <c r="F373" s="495"/>
      <c r="G373" s="495"/>
      <c r="H373" s="495"/>
    </row>
    <row r="374" spans="2:8" ht="12" customHeight="1">
      <c r="B374" s="385"/>
      <c r="C374" s="385"/>
      <c r="D374" s="385"/>
      <c r="E374" s="385"/>
      <c r="F374" s="495"/>
      <c r="G374" s="495"/>
      <c r="H374" s="495"/>
    </row>
    <row r="375" spans="2:8" ht="12" customHeight="1">
      <c r="B375" s="385" t="s">
        <v>1433</v>
      </c>
      <c r="C375" s="493"/>
      <c r="D375" s="516" t="s">
        <v>538</v>
      </c>
      <c r="E375" s="406" t="s">
        <v>408</v>
      </c>
      <c r="F375" s="495"/>
      <c r="G375" s="495"/>
      <c r="H375" s="495"/>
    </row>
    <row r="376" spans="1:8" ht="12" customHeight="1">
      <c r="A376" s="477" t="str">
        <f>D375</f>
        <v>RA221001</v>
      </c>
      <c r="B376" s="382" t="s">
        <v>1275</v>
      </c>
      <c r="C376" s="493"/>
      <c r="D376" s="516"/>
      <c r="E376" s="388" t="s">
        <v>1271</v>
      </c>
      <c r="F376" s="495">
        <v>0</v>
      </c>
      <c r="G376" s="495">
        <f>+'MLBSS_Receita e Despesa'!C427</f>
        <v>100</v>
      </c>
      <c r="H376" s="495"/>
    </row>
    <row r="377" spans="2:8" ht="12" customHeight="1">
      <c r="B377" s="382"/>
      <c r="C377" s="493"/>
      <c r="D377" s="516"/>
      <c r="E377" s="406"/>
      <c r="F377" s="495"/>
      <c r="G377" s="495"/>
      <c r="H377" s="495"/>
    </row>
    <row r="378" spans="2:8" ht="12" customHeight="1">
      <c r="B378" s="385" t="s">
        <v>1433</v>
      </c>
      <c r="C378" s="389" t="s">
        <v>1272</v>
      </c>
      <c r="D378" s="385" t="s">
        <v>538</v>
      </c>
      <c r="E378" s="406" t="s">
        <v>1210</v>
      </c>
      <c r="F378" s="495"/>
      <c r="G378" s="495"/>
      <c r="H378" s="495"/>
    </row>
    <row r="379" spans="1:8" ht="12" customHeight="1">
      <c r="A379" s="477" t="str">
        <f>D378</f>
        <v>RA221001</v>
      </c>
      <c r="B379" s="382" t="s">
        <v>1273</v>
      </c>
      <c r="C379" s="493"/>
      <c r="D379" s="493"/>
      <c r="E379" s="394" t="s">
        <v>633</v>
      </c>
      <c r="F379" s="499">
        <v>150000000</v>
      </c>
      <c r="G379" s="552">
        <f>+'MLBSS_Receita e Despesa'!C430</f>
        <v>0</v>
      </c>
      <c r="H379" s="499"/>
    </row>
    <row r="380" spans="2:8" ht="12" customHeight="1">
      <c r="B380" s="382"/>
      <c r="C380" s="493"/>
      <c r="D380" s="493"/>
      <c r="E380" s="406"/>
      <c r="F380" s="495"/>
      <c r="G380" s="495"/>
      <c r="H380" s="495"/>
    </row>
    <row r="381" spans="2:8" ht="12" customHeight="1">
      <c r="B381" s="437" t="s">
        <v>1433</v>
      </c>
      <c r="C381" s="437" t="s">
        <v>1415</v>
      </c>
      <c r="D381" s="437" t="s">
        <v>1600</v>
      </c>
      <c r="E381" s="525" t="s">
        <v>1385</v>
      </c>
      <c r="F381" s="495"/>
      <c r="G381" s="495"/>
      <c r="H381" s="495"/>
    </row>
    <row r="382" spans="1:8" ht="12" customHeight="1">
      <c r="A382" s="477" t="str">
        <f>D381</f>
        <v>RA221002</v>
      </c>
      <c r="B382" s="382" t="s">
        <v>1386</v>
      </c>
      <c r="C382" s="385"/>
      <c r="D382" s="385"/>
      <c r="E382" s="388" t="s">
        <v>1387</v>
      </c>
      <c r="F382" s="495">
        <v>10</v>
      </c>
      <c r="G382" s="529">
        <f>+'MLBSS_Receita e Despesa'!C433</f>
        <v>10</v>
      </c>
      <c r="H382" s="495"/>
    </row>
    <row r="383" spans="2:8" ht="12" customHeight="1">
      <c r="B383" s="382"/>
      <c r="C383" s="493"/>
      <c r="D383" s="493"/>
      <c r="E383" s="406"/>
      <c r="F383" s="495"/>
      <c r="G383" s="495"/>
      <c r="H383" s="495"/>
    </row>
    <row r="384" spans="2:8" ht="12" customHeight="1">
      <c r="B384" s="382"/>
      <c r="C384" s="493"/>
      <c r="D384" s="516" t="s">
        <v>186</v>
      </c>
      <c r="E384" s="386" t="s">
        <v>308</v>
      </c>
      <c r="F384" s="496">
        <f>+F385+F386</f>
        <v>12216716</v>
      </c>
      <c r="G384" s="496">
        <f>+G385+G386</f>
        <v>12000000</v>
      </c>
      <c r="H384" s="496"/>
    </row>
    <row r="385" spans="2:8" ht="12" customHeight="1">
      <c r="B385" s="382" t="s">
        <v>187</v>
      </c>
      <c r="C385" s="493"/>
      <c r="D385" s="493"/>
      <c r="E385" s="391" t="s">
        <v>188</v>
      </c>
      <c r="F385" s="495">
        <v>12216581</v>
      </c>
      <c r="G385" s="495">
        <f>12216581-216716</f>
        <v>11999865</v>
      </c>
      <c r="H385" s="495"/>
    </row>
    <row r="386" spans="2:8" ht="12" customHeight="1">
      <c r="B386" s="382" t="s">
        <v>1549</v>
      </c>
      <c r="C386" s="493"/>
      <c r="D386" s="493"/>
      <c r="E386" s="388" t="s">
        <v>1185</v>
      </c>
      <c r="F386" s="495">
        <v>135</v>
      </c>
      <c r="G386" s="495">
        <v>135</v>
      </c>
      <c r="H386" s="495"/>
    </row>
    <row r="387" spans="2:8" ht="12" customHeight="1">
      <c r="B387" s="382"/>
      <c r="C387" s="493"/>
      <c r="D387" s="493"/>
      <c r="E387" s="390"/>
      <c r="F387" s="495"/>
      <c r="G387" s="495"/>
      <c r="H387" s="495"/>
    </row>
    <row r="388" spans="2:8" ht="12" customHeight="1">
      <c r="B388" s="385"/>
      <c r="C388" s="385"/>
      <c r="D388" s="530" t="s">
        <v>847</v>
      </c>
      <c r="E388" s="386" t="s">
        <v>1186</v>
      </c>
      <c r="F388" s="496">
        <f>+F389+F390</f>
        <v>480372</v>
      </c>
      <c r="G388" s="496">
        <f>+G389+G390</f>
        <v>480372</v>
      </c>
      <c r="H388" s="496"/>
    </row>
    <row r="389" spans="2:8" ht="12" customHeight="1">
      <c r="B389" s="382" t="s">
        <v>1187</v>
      </c>
      <c r="C389" s="493"/>
      <c r="D389" s="493"/>
      <c r="E389" s="391" t="s">
        <v>1188</v>
      </c>
      <c r="F389" s="495">
        <v>480372</v>
      </c>
      <c r="G389" s="495">
        <v>480372</v>
      </c>
      <c r="H389" s="495"/>
    </row>
    <row r="390" spans="2:8" ht="12" customHeight="1">
      <c r="B390" s="382" t="s">
        <v>1275</v>
      </c>
      <c r="C390" s="493"/>
      <c r="D390" s="493"/>
      <c r="E390" s="388" t="s">
        <v>1271</v>
      </c>
      <c r="F390" s="495">
        <v>0</v>
      </c>
      <c r="G390" s="495">
        <v>0</v>
      </c>
      <c r="H390" s="495"/>
    </row>
    <row r="391" spans="2:8" ht="12" customHeight="1">
      <c r="B391" s="380"/>
      <c r="C391" s="517"/>
      <c r="D391" s="517"/>
      <c r="E391" s="518"/>
      <c r="F391" s="519"/>
      <c r="G391" s="519"/>
      <c r="H391" s="519"/>
    </row>
    <row r="392" spans="2:18" s="477" customFormat="1" ht="12" customHeight="1">
      <c r="B392" s="401"/>
      <c r="C392" s="502"/>
      <c r="D392" s="502"/>
      <c r="E392" s="400" t="s">
        <v>920</v>
      </c>
      <c r="F392" s="503">
        <f>+F227+F231+F237+F239+F255+F281+F323+F326+F329+F331+F339+F341+F347+F352+F354+F360+F365+F368+F376+F379+F382+F384+F388</f>
        <v>14420930026.99728</v>
      </c>
      <c r="G392" s="503">
        <f>+G227+G231+G237+G239+G255+G281+G323+G326+G329+G331+G339+G341+G347+G352+G354+G360+G365+G368+G376+G379+G382+G384+G388+G370</f>
        <v>15389612596.115</v>
      </c>
      <c r="H392" s="503" t="e">
        <f>+'MLBSS_Receita e Despesa'!C452-'MLBSS_Receita e Despesa'!#REF!</f>
        <v>#REF!</v>
      </c>
      <c r="R392" s="477">
        <f>SUM(R230:R390)</f>
        <v>0</v>
      </c>
    </row>
    <row r="393" spans="2:8" ht="12" customHeight="1">
      <c r="B393" s="365"/>
      <c r="C393" s="507"/>
      <c r="D393" s="507"/>
      <c r="F393" s="508"/>
      <c r="G393" s="183" t="e">
        <f>+'MLBSS_Receita e Despesa'!#REF!</f>
        <v>#REF!</v>
      </c>
      <c r="H393" s="508" t="e">
        <f>+G392-H392</f>
        <v>#REF!</v>
      </c>
    </row>
    <row r="394" spans="2:8" ht="12" customHeight="1">
      <c r="B394" s="365"/>
      <c r="C394" s="507"/>
      <c r="D394" s="507"/>
      <c r="E394" s="400" t="s">
        <v>1189</v>
      </c>
      <c r="F394" s="503">
        <f>+F392+F219+F94+F51</f>
        <v>14795827606.99728</v>
      </c>
      <c r="G394" s="503">
        <f>+G392+G219+G94+G51</f>
        <v>22843285038.114998</v>
      </c>
      <c r="H394" s="503"/>
    </row>
    <row r="396" spans="6:8" ht="12" customHeight="1">
      <c r="F396" s="520">
        <v>14795827606.99728</v>
      </c>
      <c r="G396" s="520">
        <f>+'MLBSS_Receita e Despesa'!C509-'MLBSS_Receita e Despesa'!C481-'MLBSS_Receita e Despesa'!C475</f>
        <v>25807379112.485</v>
      </c>
      <c r="H396" s="520" t="s">
        <v>1245</v>
      </c>
    </row>
    <row r="398" spans="6:8" ht="12" customHeight="1">
      <c r="F398" s="520">
        <f>+F394-F396</f>
        <v>0</v>
      </c>
      <c r="G398" s="520">
        <f>+G394-G396</f>
        <v>-2964094074.3700027</v>
      </c>
      <c r="H398" s="520"/>
    </row>
  </sheetData>
  <sheetProtection/>
  <printOptions horizontalCentered="1" verticalCentered="1"/>
  <pageMargins left="0.75" right="0.75" top="0" bottom="0" header="0" footer="0"/>
  <pageSetup fitToHeight="0" fitToWidth="0" horizontalDpi="300" verticalDpi="300" orientation="portrait" paperSize="8" scale="70" r:id="rId3"/>
  <headerFooter alignWithMargins="0">
    <oddHeader>&amp;LORÇAMENTO DA SEGURANÇA SOCIAL 2008
</oddHeader>
    <oddFooter>&amp;C&amp;P&amp;R&amp;8&amp;A</oddFooter>
  </headerFooter>
  <rowBreaks count="2" manualBreakCount="2">
    <brk id="94" max="255" man="1"/>
    <brk id="219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Henriques</dc:creator>
  <cp:keywords>PASSE</cp:keywords>
  <dc:description/>
  <cp:lastModifiedBy>igf3262</cp:lastModifiedBy>
  <cp:lastPrinted>2012-05-12T17:30:16Z</cp:lastPrinted>
  <dcterms:created xsi:type="dcterms:W3CDTF">2003-05-28T15:30:55Z</dcterms:created>
  <dcterms:modified xsi:type="dcterms:W3CDTF">2012-05-17T18:09:14Z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